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453a48a715722f3/Documents/"/>
    </mc:Choice>
  </mc:AlternateContent>
  <xr:revisionPtr revIDLastSave="179" documentId="8_{9E142579-6F92-4134-B2EB-EB8279E1C27B}" xr6:coauthVersionLast="47" xr6:coauthVersionMax="47" xr10:uidLastSave="{974D722F-AC55-45F7-A355-3E826E238E0E}"/>
  <bookViews>
    <workbookView xWindow="-120" yWindow="-120" windowWidth="29040" windowHeight="15840" activeTab="6" xr2:uid="{6DD4531E-06FE-4E3E-8555-2BF16B89EF35}"/>
  </bookViews>
  <sheets>
    <sheet name="Information" sheetId="13" r:id="rId1"/>
    <sheet name="Retirement Pay Calculations" sheetId="4" state="hidden" r:id="rId2"/>
    <sheet name="Salary Calculator" sheetId="11" r:id="rId3"/>
    <sheet name="Tax Brackets" sheetId="12" state="hidden" r:id="rId4"/>
    <sheet name="Disability Payment" sheetId="2" state="hidden" r:id="rId5"/>
    <sheet name="Retirment Pay Summary" sheetId="5" r:id="rId6"/>
    <sheet name="2025 Pay Chart" sheetId="19" r:id="rId7"/>
    <sheet name="2024 Pay Chart" sheetId="18" r:id="rId8"/>
    <sheet name="2023 Pay Chart" sheetId="17" r:id="rId9"/>
    <sheet name="2022 Pay Chart" sheetId="16" r:id="rId10"/>
    <sheet name="2021 Pay Chart" sheetId="15" r:id="rId11"/>
    <sheet name="2020 Pay Chart" sheetId="9" r:id="rId12"/>
    <sheet name="2019 Pay Chart" sheetId="6" r:id="rId13"/>
    <sheet name="2018 Pay Chart" sheetId="10" r:id="rId14"/>
    <sheet name="2017 Pay Chart" sheetId="8" r:id="rId1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25" i="19" l="1"/>
  <c r="V25" i="19"/>
  <c r="U25" i="19"/>
  <c r="T25" i="19"/>
  <c r="S25" i="19"/>
  <c r="R25" i="19"/>
  <c r="Q25" i="19"/>
  <c r="P25" i="19"/>
  <c r="O25" i="19"/>
  <c r="N25" i="19"/>
  <c r="M25" i="19"/>
  <c r="L25" i="19"/>
  <c r="K25" i="19"/>
  <c r="J25" i="19"/>
  <c r="I25" i="19"/>
  <c r="H25" i="19"/>
  <c r="G25" i="19"/>
  <c r="F25" i="19"/>
  <c r="E25" i="19"/>
  <c r="D25" i="19"/>
  <c r="C25" i="19"/>
  <c r="B25" i="19"/>
  <c r="W24" i="19"/>
  <c r="V24" i="19"/>
  <c r="U24" i="19"/>
  <c r="T24" i="19"/>
  <c r="S24" i="19"/>
  <c r="R24" i="19"/>
  <c r="Q24" i="19"/>
  <c r="P24" i="19"/>
  <c r="O24" i="19"/>
  <c r="N24" i="19"/>
  <c r="M24" i="19"/>
  <c r="L24" i="19"/>
  <c r="K24" i="19"/>
  <c r="J24" i="19"/>
  <c r="I24" i="19"/>
  <c r="H24" i="19"/>
  <c r="G24" i="19"/>
  <c r="F24" i="19"/>
  <c r="E24" i="19"/>
  <c r="D24" i="19"/>
  <c r="C24" i="19"/>
  <c r="B24" i="19"/>
  <c r="W23" i="19"/>
  <c r="V23" i="19"/>
  <c r="U23" i="19"/>
  <c r="T23" i="19"/>
  <c r="S23" i="19"/>
  <c r="R23" i="19"/>
  <c r="Q23" i="19"/>
  <c r="P23" i="19"/>
  <c r="O23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B23" i="19"/>
  <c r="W22" i="19"/>
  <c r="V22" i="19"/>
  <c r="U22" i="19"/>
  <c r="T22" i="19"/>
  <c r="S22" i="19"/>
  <c r="R22" i="19"/>
  <c r="Q22" i="19"/>
  <c r="P22" i="19"/>
  <c r="O22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B22" i="19"/>
  <c r="W21" i="19"/>
  <c r="V21" i="19"/>
  <c r="U21" i="19"/>
  <c r="T21" i="19"/>
  <c r="S21" i="19"/>
  <c r="R21" i="19"/>
  <c r="Q21" i="19"/>
  <c r="P21" i="19"/>
  <c r="O21" i="19"/>
  <c r="N21" i="19"/>
  <c r="M21" i="19"/>
  <c r="L21" i="19"/>
  <c r="K21" i="19"/>
  <c r="J21" i="19"/>
  <c r="I21" i="19"/>
  <c r="H21" i="19"/>
  <c r="G21" i="19"/>
  <c r="F21" i="19"/>
  <c r="E21" i="19"/>
  <c r="D21" i="19"/>
  <c r="C21" i="19"/>
  <c r="B21" i="19"/>
  <c r="W20" i="19"/>
  <c r="V20" i="19"/>
  <c r="U20" i="19"/>
  <c r="T20" i="19"/>
  <c r="S20" i="19"/>
  <c r="R20" i="19"/>
  <c r="Q20" i="19"/>
  <c r="P20" i="19"/>
  <c r="O20" i="19"/>
  <c r="N20" i="19"/>
  <c r="M20" i="19"/>
  <c r="L20" i="19"/>
  <c r="K20" i="19"/>
  <c r="J20" i="19"/>
  <c r="I20" i="19"/>
  <c r="H20" i="19"/>
  <c r="G20" i="19"/>
  <c r="F20" i="19"/>
  <c r="E20" i="19"/>
  <c r="D20" i="19"/>
  <c r="C20" i="19"/>
  <c r="B20" i="19"/>
  <c r="W19" i="19"/>
  <c r="V19" i="19"/>
  <c r="U19" i="19"/>
  <c r="T19" i="19"/>
  <c r="S19" i="19"/>
  <c r="R19" i="19"/>
  <c r="Q19" i="19"/>
  <c r="P19" i="19"/>
  <c r="O19" i="19"/>
  <c r="N19" i="19"/>
  <c r="M19" i="19"/>
  <c r="L19" i="19"/>
  <c r="K19" i="19"/>
  <c r="J19" i="19"/>
  <c r="I19" i="19"/>
  <c r="H19" i="19"/>
  <c r="G19" i="19"/>
  <c r="F19" i="19"/>
  <c r="E19" i="19"/>
  <c r="D19" i="19"/>
  <c r="C19" i="19"/>
  <c r="B19" i="19"/>
  <c r="W18" i="19"/>
  <c r="V18" i="19"/>
  <c r="U18" i="19"/>
  <c r="T18" i="19"/>
  <c r="S18" i="19"/>
  <c r="R18" i="19"/>
  <c r="Q18" i="19"/>
  <c r="P18" i="19"/>
  <c r="O18" i="19"/>
  <c r="N18" i="19"/>
  <c r="M18" i="19"/>
  <c r="L18" i="19"/>
  <c r="K18" i="19"/>
  <c r="J18" i="19"/>
  <c r="I18" i="19"/>
  <c r="H18" i="19"/>
  <c r="G18" i="19"/>
  <c r="F18" i="19"/>
  <c r="E18" i="19"/>
  <c r="D18" i="19"/>
  <c r="C18" i="19"/>
  <c r="B18" i="19"/>
  <c r="W17" i="19"/>
  <c r="V17" i="19"/>
  <c r="U17" i="19"/>
  <c r="T17" i="19"/>
  <c r="S17" i="19"/>
  <c r="R17" i="19"/>
  <c r="Q17" i="19"/>
  <c r="P17" i="19"/>
  <c r="O17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B17" i="19"/>
  <c r="W16" i="19"/>
  <c r="V16" i="19"/>
  <c r="U16" i="19"/>
  <c r="T16" i="19"/>
  <c r="S16" i="19"/>
  <c r="R16" i="19"/>
  <c r="Q16" i="19"/>
  <c r="P16" i="19"/>
  <c r="O16" i="19"/>
  <c r="N16" i="19"/>
  <c r="M16" i="19"/>
  <c r="L16" i="19"/>
  <c r="K16" i="19"/>
  <c r="J16" i="19"/>
  <c r="I16" i="19"/>
  <c r="H16" i="19"/>
  <c r="G16" i="19"/>
  <c r="F16" i="19"/>
  <c r="E16" i="19"/>
  <c r="D16" i="19"/>
  <c r="C16" i="19"/>
  <c r="B16" i="19"/>
  <c r="W15" i="19"/>
  <c r="V15" i="19"/>
  <c r="U15" i="19"/>
  <c r="T15" i="19"/>
  <c r="S15" i="19"/>
  <c r="R15" i="19"/>
  <c r="Q15" i="19"/>
  <c r="P15" i="19"/>
  <c r="O15" i="19"/>
  <c r="N15" i="19"/>
  <c r="M15" i="19"/>
  <c r="L15" i="19"/>
  <c r="K15" i="19"/>
  <c r="J15" i="19"/>
  <c r="I15" i="19"/>
  <c r="H15" i="19"/>
  <c r="G15" i="19"/>
  <c r="F15" i="19"/>
  <c r="E15" i="19"/>
  <c r="D15" i="19"/>
  <c r="C15" i="19"/>
  <c r="B15" i="19"/>
  <c r="W14" i="19"/>
  <c r="V14" i="19"/>
  <c r="U14" i="19"/>
  <c r="T14" i="19"/>
  <c r="S14" i="19"/>
  <c r="R14" i="19"/>
  <c r="Q14" i="19"/>
  <c r="P14" i="19"/>
  <c r="O14" i="19"/>
  <c r="N14" i="19"/>
  <c r="M14" i="19"/>
  <c r="L14" i="19"/>
  <c r="K14" i="19"/>
  <c r="J14" i="19"/>
  <c r="I14" i="19"/>
  <c r="H14" i="19"/>
  <c r="G14" i="19"/>
  <c r="F14" i="19"/>
  <c r="E14" i="19"/>
  <c r="D14" i="19"/>
  <c r="C14" i="19"/>
  <c r="B14" i="19"/>
  <c r="W13" i="19"/>
  <c r="V13" i="19"/>
  <c r="U13" i="19"/>
  <c r="T13" i="19"/>
  <c r="S13" i="19"/>
  <c r="R13" i="19"/>
  <c r="Q13" i="19"/>
  <c r="P13" i="19"/>
  <c r="O13" i="19"/>
  <c r="N13" i="19"/>
  <c r="M13" i="19"/>
  <c r="L13" i="19"/>
  <c r="K13" i="19"/>
  <c r="J13" i="19"/>
  <c r="I13" i="19"/>
  <c r="H13" i="19"/>
  <c r="G13" i="19"/>
  <c r="F13" i="19"/>
  <c r="E13" i="19"/>
  <c r="D13" i="19"/>
  <c r="C13" i="19"/>
  <c r="B13" i="19"/>
  <c r="W12" i="19"/>
  <c r="V12" i="19"/>
  <c r="U12" i="19"/>
  <c r="T12" i="19"/>
  <c r="S12" i="19"/>
  <c r="R12" i="19"/>
  <c r="Q12" i="19"/>
  <c r="P12" i="19"/>
  <c r="O12" i="19"/>
  <c r="N12" i="19"/>
  <c r="M12" i="19"/>
  <c r="L12" i="19"/>
  <c r="K12" i="19"/>
  <c r="J12" i="19"/>
  <c r="I12" i="19"/>
  <c r="H12" i="19"/>
  <c r="G12" i="19"/>
  <c r="F12" i="19"/>
  <c r="E12" i="19"/>
  <c r="D12" i="19"/>
  <c r="C12" i="19"/>
  <c r="B12" i="19"/>
  <c r="W11" i="19"/>
  <c r="V11" i="19"/>
  <c r="U11" i="19"/>
  <c r="T11" i="19"/>
  <c r="S11" i="19"/>
  <c r="R11" i="19"/>
  <c r="Q11" i="19"/>
  <c r="P11" i="19"/>
  <c r="O11" i="19"/>
  <c r="N11" i="19"/>
  <c r="M11" i="19"/>
  <c r="L11" i="19"/>
  <c r="K11" i="19"/>
  <c r="J11" i="19"/>
  <c r="I11" i="19"/>
  <c r="H11" i="19"/>
  <c r="G11" i="19"/>
  <c r="F11" i="19"/>
  <c r="E11" i="19"/>
  <c r="D11" i="19"/>
  <c r="C11" i="19"/>
  <c r="B11" i="19"/>
  <c r="W10" i="19"/>
  <c r="V10" i="19"/>
  <c r="U10" i="19"/>
  <c r="T10" i="19"/>
  <c r="S10" i="19"/>
  <c r="R10" i="19"/>
  <c r="Q10" i="19"/>
  <c r="P10" i="19"/>
  <c r="O10" i="19"/>
  <c r="N10" i="19"/>
  <c r="M10" i="19"/>
  <c r="L10" i="19"/>
  <c r="K10" i="19"/>
  <c r="J10" i="19"/>
  <c r="I10" i="19"/>
  <c r="H10" i="19"/>
  <c r="G10" i="19"/>
  <c r="F10" i="19"/>
  <c r="E10" i="19"/>
  <c r="D10" i="19"/>
  <c r="C10" i="19"/>
  <c r="B10" i="19"/>
  <c r="W9" i="19"/>
  <c r="V9" i="19"/>
  <c r="U9" i="19"/>
  <c r="T9" i="19"/>
  <c r="S9" i="19"/>
  <c r="R9" i="19"/>
  <c r="Q9" i="19"/>
  <c r="P9" i="19"/>
  <c r="O9" i="19"/>
  <c r="N9" i="19"/>
  <c r="M9" i="19"/>
  <c r="L9" i="19"/>
  <c r="K9" i="19"/>
  <c r="J9" i="19"/>
  <c r="I9" i="19"/>
  <c r="H9" i="19"/>
  <c r="G9" i="19"/>
  <c r="F9" i="19"/>
  <c r="E9" i="19"/>
  <c r="D9" i="19"/>
  <c r="C9" i="19"/>
  <c r="B9" i="19"/>
  <c r="W8" i="19"/>
  <c r="V8" i="19"/>
  <c r="U8" i="19"/>
  <c r="T8" i="19"/>
  <c r="S8" i="19"/>
  <c r="R8" i="19"/>
  <c r="Q8" i="19"/>
  <c r="P8" i="19"/>
  <c r="O8" i="19"/>
  <c r="N8" i="19"/>
  <c r="M8" i="19"/>
  <c r="L8" i="19"/>
  <c r="K8" i="19"/>
  <c r="J8" i="19"/>
  <c r="I8" i="19"/>
  <c r="H8" i="19"/>
  <c r="G8" i="19"/>
  <c r="F8" i="19"/>
  <c r="E8" i="19"/>
  <c r="D8" i="19"/>
  <c r="C8" i="19"/>
  <c r="B8" i="19"/>
  <c r="W7" i="19"/>
  <c r="V7" i="19"/>
  <c r="U7" i="19"/>
  <c r="T7" i="19"/>
  <c r="S7" i="19"/>
  <c r="R7" i="19"/>
  <c r="Q7" i="19"/>
  <c r="P7" i="19"/>
  <c r="O7" i="19"/>
  <c r="N7" i="19"/>
  <c r="M7" i="19"/>
  <c r="L7" i="19"/>
  <c r="K7" i="19"/>
  <c r="J7" i="19"/>
  <c r="I7" i="19"/>
  <c r="H7" i="19"/>
  <c r="G7" i="19"/>
  <c r="F7" i="19"/>
  <c r="E7" i="19"/>
  <c r="D7" i="19"/>
  <c r="C7" i="19"/>
  <c r="B7" i="19"/>
  <c r="W6" i="19"/>
  <c r="V6" i="19"/>
  <c r="U6" i="19"/>
  <c r="T6" i="19"/>
  <c r="S6" i="19"/>
  <c r="R6" i="19"/>
  <c r="Q6" i="19"/>
  <c r="P6" i="19"/>
  <c r="O6" i="19"/>
  <c r="N6" i="19"/>
  <c r="M6" i="19"/>
  <c r="L6" i="19"/>
  <c r="K6" i="19"/>
  <c r="J6" i="19"/>
  <c r="I6" i="19"/>
  <c r="H6" i="19"/>
  <c r="G6" i="19"/>
  <c r="F6" i="19"/>
  <c r="E6" i="19"/>
  <c r="D6" i="19"/>
  <c r="C6" i="19"/>
  <c r="B6" i="19"/>
  <c r="W5" i="19"/>
  <c r="V5" i="19"/>
  <c r="U5" i="19"/>
  <c r="T5" i="19"/>
  <c r="S5" i="19"/>
  <c r="R5" i="19"/>
  <c r="Q5" i="19"/>
  <c r="P5" i="19"/>
  <c r="O5" i="19"/>
  <c r="N5" i="19"/>
  <c r="M5" i="19"/>
  <c r="L5" i="19"/>
  <c r="K5" i="19"/>
  <c r="J5" i="19"/>
  <c r="I5" i="19"/>
  <c r="H5" i="19"/>
  <c r="G5" i="19"/>
  <c r="F5" i="19"/>
  <c r="E5" i="19"/>
  <c r="D5" i="19"/>
  <c r="C5" i="19"/>
  <c r="B5" i="19"/>
  <c r="W4" i="19"/>
  <c r="V4" i="19"/>
  <c r="U4" i="19"/>
  <c r="T4" i="19"/>
  <c r="S4" i="19"/>
  <c r="R4" i="19"/>
  <c r="Q4" i="19"/>
  <c r="P4" i="19"/>
  <c r="O4" i="19"/>
  <c r="N4" i="19"/>
  <c r="M4" i="19"/>
  <c r="L4" i="19"/>
  <c r="K4" i="19"/>
  <c r="J4" i="19"/>
  <c r="I4" i="19"/>
  <c r="H4" i="19"/>
  <c r="G4" i="19"/>
  <c r="F4" i="19"/>
  <c r="E4" i="19"/>
  <c r="D4" i="19"/>
  <c r="C4" i="19"/>
  <c r="B4" i="19"/>
  <c r="W3" i="19"/>
  <c r="V3" i="19"/>
  <c r="U3" i="19"/>
  <c r="T3" i="19"/>
  <c r="S3" i="19"/>
  <c r="R3" i="19"/>
  <c r="Q3" i="19"/>
  <c r="P3" i="19"/>
  <c r="O3" i="19"/>
  <c r="N3" i="19"/>
  <c r="M3" i="19"/>
  <c r="L3" i="19"/>
  <c r="K3" i="19"/>
  <c r="J3" i="19"/>
  <c r="I3" i="19"/>
  <c r="H3" i="19"/>
  <c r="G3" i="19"/>
  <c r="F3" i="19"/>
  <c r="E3" i="19"/>
  <c r="D3" i="19"/>
  <c r="C3" i="19"/>
  <c r="B3" i="19"/>
  <c r="W2" i="19"/>
  <c r="V2" i="19"/>
  <c r="U2" i="19"/>
  <c r="T2" i="19"/>
  <c r="S2" i="19"/>
  <c r="R2" i="19"/>
  <c r="Q2" i="19"/>
  <c r="P2" i="19"/>
  <c r="O2" i="19"/>
  <c r="N2" i="19"/>
  <c r="M2" i="19"/>
  <c r="L2" i="19"/>
  <c r="K2" i="19"/>
  <c r="J2" i="19"/>
  <c r="I2" i="19"/>
  <c r="H2" i="19"/>
  <c r="G2" i="19"/>
  <c r="F2" i="19"/>
  <c r="E2" i="19"/>
  <c r="D2" i="19"/>
  <c r="C2" i="19"/>
  <c r="B2" i="19"/>
  <c r="C40" i="11"/>
  <c r="B64" i="13"/>
  <c r="B10" i="11" l="1"/>
  <c r="B8" i="11"/>
  <c r="B7" i="11"/>
  <c r="B3" i="11"/>
  <c r="F31" i="11"/>
  <c r="F33" i="11" s="1"/>
  <c r="F24" i="11"/>
  <c r="F19" i="11"/>
  <c r="F26" i="11" l="1"/>
  <c r="F40" i="11"/>
  <c r="F41" i="11"/>
  <c r="E29" i="11" l="1"/>
  <c r="E28" i="11"/>
  <c r="E24" i="11"/>
  <c r="D29" i="11" l="1"/>
  <c r="D28" i="11"/>
  <c r="D24" i="11"/>
  <c r="C33" i="11"/>
  <c r="B33" i="11"/>
  <c r="B23" i="11"/>
  <c r="C23" i="11" s="1"/>
  <c r="B22" i="11"/>
  <c r="C22" i="11" s="1"/>
  <c r="B21" i="11"/>
  <c r="C21" i="11" s="1"/>
  <c r="B18" i="11"/>
  <c r="C18" i="11" s="1"/>
  <c r="B17" i="11"/>
  <c r="C17" i="11" s="1"/>
  <c r="B16" i="11"/>
  <c r="C16" i="11" s="1"/>
  <c r="C19" i="11" l="1"/>
  <c r="C41" i="11" s="1"/>
  <c r="C24" i="11"/>
  <c r="C26" i="11" s="1"/>
  <c r="D16" i="11" s="1"/>
  <c r="D19" i="11" s="1"/>
  <c r="B24" i="11"/>
  <c r="B19" i="11"/>
  <c r="E7" i="13"/>
  <c r="B58" i="13"/>
  <c r="E26" i="13"/>
  <c r="B48" i="13" s="1"/>
  <c r="D48" i="13" s="1"/>
  <c r="E25" i="13"/>
  <c r="B47" i="13" s="1"/>
  <c r="D47" i="13" s="1"/>
  <c r="E24" i="13"/>
  <c r="B46" i="13" s="1"/>
  <c r="D46" i="13" s="1"/>
  <c r="E22" i="13"/>
  <c r="B42" i="13" s="1"/>
  <c r="E21" i="13"/>
  <c r="E20" i="13"/>
  <c r="E19" i="13"/>
  <c r="B40" i="13" s="1"/>
  <c r="E30" i="13"/>
  <c r="C42" i="13" s="1"/>
  <c r="E29" i="13"/>
  <c r="E28" i="13"/>
  <c r="E6" i="13"/>
  <c r="C59" i="13" l="1"/>
  <c r="B9" i="11"/>
  <c r="D26" i="11"/>
  <c r="B26" i="11"/>
  <c r="B41" i="11"/>
  <c r="B40" i="11"/>
  <c r="B36" i="11"/>
  <c r="B39" i="11" s="1"/>
  <c r="D42" i="13"/>
  <c r="B41" i="13"/>
  <c r="D41" i="13" s="1"/>
  <c r="B59" i="13"/>
  <c r="D59" i="13" s="1"/>
  <c r="D40" i="13"/>
  <c r="B50" i="13"/>
  <c r="E13" i="13"/>
  <c r="B10" i="5" s="1"/>
  <c r="F34" i="11" l="1"/>
  <c r="F36" i="11" s="1"/>
  <c r="G18" i="12" s="1"/>
  <c r="E34" i="11"/>
  <c r="D34" i="11"/>
  <c r="C34" i="11"/>
  <c r="C36" i="11" s="1"/>
  <c r="B44" i="13"/>
  <c r="G19" i="12" s="1"/>
  <c r="B60" i="13"/>
  <c r="B51" i="13"/>
  <c r="E35" i="13"/>
  <c r="C54" i="13" s="1"/>
  <c r="D54" i="13" s="1"/>
  <c r="E34" i="13"/>
  <c r="C55" i="13" s="1"/>
  <c r="D55" i="13" s="1"/>
  <c r="E33" i="13"/>
  <c r="E32" i="13"/>
  <c r="G15" i="12" l="1"/>
  <c r="C39" i="11"/>
  <c r="B65" i="13"/>
  <c r="C57" i="13"/>
  <c r="D57" i="13" s="1"/>
  <c r="B6" i="11"/>
  <c r="C56" i="13"/>
  <c r="D56" i="13" s="1"/>
  <c r="B5" i="11"/>
  <c r="D31" i="11" s="1"/>
  <c r="E17" i="13"/>
  <c r="B5" i="5" s="1"/>
  <c r="E16" i="13"/>
  <c r="B4" i="5" s="1"/>
  <c r="E15" i="13"/>
  <c r="B6" i="5" s="1"/>
  <c r="E11" i="13"/>
  <c r="B9" i="5" s="1"/>
  <c r="E9" i="13"/>
  <c r="E8" i="13"/>
  <c r="B63" i="13" s="1"/>
  <c r="E5" i="13"/>
  <c r="B3" i="5" s="1"/>
  <c r="E4" i="13"/>
  <c r="B2" i="5" s="1"/>
  <c r="E3" i="13"/>
  <c r="B8" i="5" s="1"/>
  <c r="N14" i="12"/>
  <c r="M14" i="12"/>
  <c r="L14" i="12"/>
  <c r="K14" i="12"/>
  <c r="J14" i="12"/>
  <c r="I14" i="12"/>
  <c r="H14" i="12"/>
  <c r="H12" i="12"/>
  <c r="K12" i="12" s="1"/>
  <c r="L19" i="12" s="1"/>
  <c r="E32" i="11" l="1"/>
  <c r="D32" i="11"/>
  <c r="D33" i="11" s="1"/>
  <c r="D40" i="11" s="1"/>
  <c r="B4" i="11"/>
  <c r="F39" i="11" s="1"/>
  <c r="E12" i="13"/>
  <c r="B7" i="5" s="1"/>
  <c r="H19" i="12"/>
  <c r="I19" i="12"/>
  <c r="N19" i="12"/>
  <c r="M19" i="12"/>
  <c r="J19" i="12"/>
  <c r="K19" i="12"/>
  <c r="M3" i="4"/>
  <c r="I5" i="4"/>
  <c r="J5" i="4" s="1"/>
  <c r="F2" i="5" s="1"/>
  <c r="A41" i="4"/>
  <c r="B41" i="4" s="1"/>
  <c r="P3" i="4"/>
  <c r="N3" i="4"/>
  <c r="D41" i="11" l="1"/>
  <c r="D36" i="11"/>
  <c r="D39" i="11" s="1"/>
  <c r="O19" i="12"/>
  <c r="B62" i="13" s="1"/>
  <c r="B66" i="13" s="1"/>
  <c r="B67" i="13" s="1"/>
  <c r="B68" i="13" s="1"/>
  <c r="A5" i="4"/>
  <c r="A34" i="4"/>
  <c r="A21" i="4"/>
  <c r="A6" i="4"/>
  <c r="A25" i="4"/>
  <c r="A9" i="4"/>
  <c r="A32" i="4"/>
  <c r="A8" i="4"/>
  <c r="C8" i="4" s="1"/>
  <c r="A27" i="4"/>
  <c r="C27" i="4" s="1"/>
  <c r="A38" i="4"/>
  <c r="C38" i="4" s="1"/>
  <c r="A18" i="4"/>
  <c r="A22" i="4"/>
  <c r="A35" i="4"/>
  <c r="B35" i="4" s="1"/>
  <c r="D41" i="4"/>
  <c r="A14" i="4"/>
  <c r="D14" i="4" s="1"/>
  <c r="A33" i="4"/>
  <c r="C33" i="4" s="1"/>
  <c r="A17" i="4"/>
  <c r="D17" i="4" s="1"/>
  <c r="A40" i="4"/>
  <c r="B40" i="4" s="1"/>
  <c r="F40" i="4" s="1"/>
  <c r="A20" i="4"/>
  <c r="D20" i="4" s="1"/>
  <c r="A19" i="4"/>
  <c r="A23" i="4"/>
  <c r="C23" i="4" s="1"/>
  <c r="C41" i="4"/>
  <c r="A30" i="4"/>
  <c r="A37" i="4"/>
  <c r="A24" i="4"/>
  <c r="B24" i="4" s="1"/>
  <c r="A11" i="4"/>
  <c r="A26" i="4"/>
  <c r="A10" i="4"/>
  <c r="D10" i="4" s="1"/>
  <c r="A29" i="4"/>
  <c r="D29" i="4" s="1"/>
  <c r="A13" i="4"/>
  <c r="C13" i="4" s="1"/>
  <c r="A36" i="4"/>
  <c r="A16" i="4"/>
  <c r="C16" i="4" s="1"/>
  <c r="A15" i="4"/>
  <c r="D15" i="4" s="1"/>
  <c r="A39" i="4"/>
  <c r="M5" i="4"/>
  <c r="F12" i="5" s="1"/>
  <c r="C49" i="13" s="1"/>
  <c r="F41" i="4"/>
  <c r="E41" i="4"/>
  <c r="B38" i="4"/>
  <c r="A28" i="4"/>
  <c r="A12" i="4"/>
  <c r="A31" i="4"/>
  <c r="A7" i="4"/>
  <c r="G41" i="4"/>
  <c r="G16" i="12" l="1"/>
  <c r="F5" i="5"/>
  <c r="B29" i="4"/>
  <c r="F29" i="4" s="1"/>
  <c r="B23" i="4"/>
  <c r="F23" i="4" s="1"/>
  <c r="D40" i="4"/>
  <c r="C29" i="4"/>
  <c r="B17" i="4"/>
  <c r="E17" i="4" s="1"/>
  <c r="C40" i="4"/>
  <c r="D38" i="4"/>
  <c r="E40" i="4"/>
  <c r="D33" i="4"/>
  <c r="D23" i="4"/>
  <c r="B15" i="4"/>
  <c r="F15" i="4" s="1"/>
  <c r="C15" i="4"/>
  <c r="C17" i="4"/>
  <c r="D8" i="4"/>
  <c r="C14" i="4"/>
  <c r="B8" i="4"/>
  <c r="E8" i="4" s="1"/>
  <c r="B14" i="4"/>
  <c r="F14" i="4" s="1"/>
  <c r="B33" i="4"/>
  <c r="D16" i="4"/>
  <c r="B16" i="4"/>
  <c r="C10" i="4"/>
  <c r="B10" i="4"/>
  <c r="B37" i="4"/>
  <c r="D37" i="4"/>
  <c r="C37" i="4"/>
  <c r="D19" i="4"/>
  <c r="C19" i="4"/>
  <c r="B19" i="4"/>
  <c r="D22" i="4"/>
  <c r="B22" i="4"/>
  <c r="C22" i="4"/>
  <c r="D6" i="4"/>
  <c r="C6" i="4"/>
  <c r="B6" i="4"/>
  <c r="D36" i="4"/>
  <c r="C36" i="4"/>
  <c r="B36" i="4"/>
  <c r="C26" i="4"/>
  <c r="D26" i="4"/>
  <c r="B26" i="4"/>
  <c r="D30" i="4"/>
  <c r="C30" i="4"/>
  <c r="B30" i="4"/>
  <c r="C20" i="4"/>
  <c r="B20" i="4"/>
  <c r="D18" i="4"/>
  <c r="C18" i="4"/>
  <c r="B18" i="4"/>
  <c r="C32" i="4"/>
  <c r="B32" i="4"/>
  <c r="D32" i="4"/>
  <c r="C21" i="4"/>
  <c r="D21" i="4"/>
  <c r="B21" i="4"/>
  <c r="D39" i="4"/>
  <c r="C39" i="4"/>
  <c r="B39" i="4"/>
  <c r="B13" i="4"/>
  <c r="D13" i="4"/>
  <c r="D11" i="4"/>
  <c r="B11" i="4"/>
  <c r="C11" i="4"/>
  <c r="D9" i="4"/>
  <c r="C9" i="4"/>
  <c r="B9" i="4"/>
  <c r="D34" i="4"/>
  <c r="C34" i="4"/>
  <c r="B34" i="4"/>
  <c r="D24" i="4"/>
  <c r="C24" i="4"/>
  <c r="D35" i="4"/>
  <c r="C35" i="4"/>
  <c r="B27" i="4"/>
  <c r="D27" i="4"/>
  <c r="D25" i="4"/>
  <c r="C25" i="4"/>
  <c r="B25" i="4"/>
  <c r="D5" i="4"/>
  <c r="C5" i="4"/>
  <c r="B5" i="4"/>
  <c r="D28" i="4"/>
  <c r="B28" i="4"/>
  <c r="C28" i="4"/>
  <c r="C12" i="4"/>
  <c r="B12" i="4"/>
  <c r="D12" i="4"/>
  <c r="F38" i="4"/>
  <c r="E38" i="4"/>
  <c r="C7" i="4"/>
  <c r="B7" i="4"/>
  <c r="D7" i="4"/>
  <c r="D31" i="4"/>
  <c r="C31" i="4"/>
  <c r="B31" i="4"/>
  <c r="E29" i="4"/>
  <c r="F24" i="4"/>
  <c r="E24" i="4"/>
  <c r="E35" i="4"/>
  <c r="F35" i="4"/>
  <c r="H41" i="4"/>
  <c r="G15" i="4"/>
  <c r="G23" i="4"/>
  <c r="G29" i="4"/>
  <c r="G35" i="4"/>
  <c r="G24" i="4"/>
  <c r="G38" i="4"/>
  <c r="G14" i="4"/>
  <c r="G40" i="4"/>
  <c r="E14" i="4" l="1"/>
  <c r="E15" i="4"/>
  <c r="E23" i="4"/>
  <c r="F17" i="4"/>
  <c r="C50" i="13"/>
  <c r="D50" i="13" s="1"/>
  <c r="D49" i="13"/>
  <c r="F8" i="4"/>
  <c r="E33" i="4"/>
  <c r="F33" i="4"/>
  <c r="E13" i="4"/>
  <c r="F13" i="4"/>
  <c r="E21" i="4"/>
  <c r="F21" i="4"/>
  <c r="E32" i="4"/>
  <c r="F32" i="4"/>
  <c r="F6" i="4"/>
  <c r="E6" i="4"/>
  <c r="E22" i="4"/>
  <c r="F22" i="4"/>
  <c r="F10" i="4"/>
  <c r="E10" i="4"/>
  <c r="F25" i="4"/>
  <c r="E25" i="4"/>
  <c r="F27" i="4"/>
  <c r="E27" i="4"/>
  <c r="F9" i="4"/>
  <c r="E9" i="4"/>
  <c r="F11" i="4"/>
  <c r="E11" i="4"/>
  <c r="F39" i="4"/>
  <c r="E39" i="4"/>
  <c r="E20" i="4"/>
  <c r="F20" i="4"/>
  <c r="E36" i="4"/>
  <c r="F36" i="4"/>
  <c r="F5" i="4"/>
  <c r="E5" i="4"/>
  <c r="E34" i="4"/>
  <c r="F34" i="4"/>
  <c r="F18" i="4"/>
  <c r="E18" i="4"/>
  <c r="F26" i="4"/>
  <c r="E26" i="4"/>
  <c r="E19" i="4"/>
  <c r="F19" i="4"/>
  <c r="E16" i="4"/>
  <c r="F16" i="4"/>
  <c r="E30" i="4"/>
  <c r="F30" i="4"/>
  <c r="E37" i="4"/>
  <c r="F37" i="4"/>
  <c r="F31" i="4"/>
  <c r="E31" i="4"/>
  <c r="F7" i="4"/>
  <c r="E7" i="4"/>
  <c r="E28" i="4"/>
  <c r="F28" i="4"/>
  <c r="F12" i="4"/>
  <c r="E12" i="4"/>
  <c r="K15" i="12"/>
  <c r="N15" i="12"/>
  <c r="H15" i="12"/>
  <c r="I15" i="12"/>
  <c r="L15" i="12"/>
  <c r="J15" i="12"/>
  <c r="M15" i="12"/>
  <c r="M18" i="12"/>
  <c r="K18" i="12"/>
  <c r="I18" i="12"/>
  <c r="H18" i="12"/>
  <c r="L18" i="12"/>
  <c r="J18" i="12"/>
  <c r="N18" i="12"/>
  <c r="G11" i="4"/>
  <c r="G8" i="4"/>
  <c r="G12" i="4"/>
  <c r="G32" i="4"/>
  <c r="G19" i="4"/>
  <c r="G10" i="4"/>
  <c r="G30" i="4"/>
  <c r="G7" i="4"/>
  <c r="G36" i="4"/>
  <c r="G6" i="4"/>
  <c r="G28" i="4"/>
  <c r="H38" i="4"/>
  <c r="G39" i="4"/>
  <c r="H24" i="4"/>
  <c r="G22" i="4"/>
  <c r="G17" i="4"/>
  <c r="G5" i="4"/>
  <c r="G33" i="4"/>
  <c r="G9" i="4"/>
  <c r="H23" i="4"/>
  <c r="G37" i="4"/>
  <c r="G25" i="4"/>
  <c r="G27" i="4"/>
  <c r="G13" i="4"/>
  <c r="G16" i="4"/>
  <c r="H29" i="4"/>
  <c r="H40" i="4"/>
  <c r="H15" i="4"/>
  <c r="G21" i="4"/>
  <c r="H14" i="4"/>
  <c r="G31" i="4"/>
  <c r="G20" i="4"/>
  <c r="H35" i="4"/>
  <c r="G18" i="4"/>
  <c r="G34" i="4"/>
  <c r="G26" i="4"/>
  <c r="O15" i="12" l="1"/>
  <c r="O18" i="12"/>
  <c r="N16" i="12"/>
  <c r="M16" i="12"/>
  <c r="J16" i="12"/>
  <c r="H16" i="12"/>
  <c r="L16" i="12"/>
  <c r="I16" i="12"/>
  <c r="K16" i="12"/>
  <c r="H30" i="4"/>
  <c r="H12" i="4"/>
  <c r="H26" i="4"/>
  <c r="H9" i="4"/>
  <c r="H20" i="4"/>
  <c r="H25" i="4"/>
  <c r="H21" i="4"/>
  <c r="H33" i="4"/>
  <c r="H22" i="4"/>
  <c r="H5" i="4"/>
  <c r="H39" i="4"/>
  <c r="H36" i="4"/>
  <c r="H37" i="4"/>
  <c r="H11" i="4"/>
  <c r="H6" i="4"/>
  <c r="H27" i="4"/>
  <c r="H10" i="4"/>
  <c r="H31" i="4"/>
  <c r="H28" i="4"/>
  <c r="H18" i="4"/>
  <c r="H19" i="4"/>
  <c r="H32" i="4"/>
  <c r="H13" i="4"/>
  <c r="H17" i="4"/>
  <c r="H7" i="4"/>
  <c r="H16" i="4"/>
  <c r="H34" i="4"/>
  <c r="H8" i="4"/>
  <c r="K5" i="4" l="1"/>
  <c r="F38" i="11"/>
  <c r="F42" i="11" s="1"/>
  <c r="F43" i="11" s="1"/>
  <c r="C38" i="11"/>
  <c r="O16" i="12"/>
  <c r="L5" i="4" l="1"/>
  <c r="F4" i="5" s="1"/>
  <c r="F6" i="5" s="1"/>
  <c r="C43" i="13" s="1"/>
  <c r="F3" i="5"/>
  <c r="C42" i="11"/>
  <c r="C43" i="11" s="1"/>
  <c r="C44" i="11" s="1"/>
  <c r="B38" i="11"/>
  <c r="B42" i="11" s="1"/>
  <c r="B43" i="11" s="1"/>
  <c r="B44" i="11" s="1"/>
  <c r="F44" i="11"/>
  <c r="D38" i="11"/>
  <c r="O5" i="4" l="1"/>
  <c r="F7" i="5" s="1"/>
  <c r="C53" i="13" s="1"/>
  <c r="C58" i="13" s="1"/>
  <c r="D58" i="13" s="1"/>
  <c r="F45" i="11"/>
  <c r="F46" i="11"/>
  <c r="D42" i="11"/>
  <c r="D43" i="11" s="1"/>
  <c r="B2" i="11"/>
  <c r="E35" i="11" s="1"/>
  <c r="E25" i="11" s="1"/>
  <c r="E16" i="11" s="1"/>
  <c r="D43" i="13"/>
  <c r="C44" i="13"/>
  <c r="G20" i="12" l="1"/>
  <c r="L20" i="12" s="1"/>
  <c r="C64" i="13"/>
  <c r="D64" i="13" s="1"/>
  <c r="F8" i="5"/>
  <c r="F10" i="5" s="1"/>
  <c r="D53" i="13"/>
  <c r="D44" i="11"/>
  <c r="D46" i="11" s="1"/>
  <c r="D45" i="11"/>
  <c r="E31" i="11"/>
  <c r="E33" i="11" s="1"/>
  <c r="E19" i="11"/>
  <c r="D44" i="13"/>
  <c r="C51" i="13"/>
  <c r="D51" i="13" s="1"/>
  <c r="C65" i="13"/>
  <c r="D65" i="13" s="1"/>
  <c r="C60" i="13"/>
  <c r="C63" i="13" s="1"/>
  <c r="I20" i="12" l="1"/>
  <c r="J20" i="12"/>
  <c r="N20" i="12"/>
  <c r="M20" i="12"/>
  <c r="K20" i="12"/>
  <c r="H20" i="12"/>
  <c r="E40" i="11"/>
  <c r="E41" i="11"/>
  <c r="E26" i="11"/>
  <c r="E36" i="11"/>
  <c r="D60" i="13"/>
  <c r="O20" i="12" l="1"/>
  <c r="C62" i="13" s="1"/>
  <c r="F9" i="5" s="1"/>
  <c r="F11" i="5" s="1"/>
  <c r="F13" i="5" s="1"/>
  <c r="E39" i="11"/>
  <c r="G17" i="12"/>
  <c r="D63" i="13"/>
  <c r="C66" i="13" l="1"/>
  <c r="C67" i="13" s="1"/>
  <c r="D62" i="13"/>
  <c r="H17" i="12"/>
  <c r="L17" i="12"/>
  <c r="J17" i="12"/>
  <c r="M17" i="12"/>
  <c r="N17" i="12"/>
  <c r="K17" i="12"/>
  <c r="I17" i="12"/>
  <c r="D66" i="13"/>
  <c r="O17" i="12" l="1"/>
  <c r="E38" i="11" s="1"/>
  <c r="E42" i="11" s="1"/>
  <c r="E43" i="11" s="1"/>
  <c r="C68" i="13"/>
  <c r="D68" i="13" s="1"/>
  <c r="D67" i="13"/>
  <c r="E44" i="11" l="1"/>
  <c r="E46" i="11" s="1"/>
  <c r="E45" i="11"/>
</calcChain>
</file>

<file path=xl/sharedStrings.xml><?xml version="1.0" encoding="utf-8"?>
<sst xmlns="http://schemas.openxmlformats.org/spreadsheetml/2006/main" count="405" uniqueCount="162">
  <si>
    <t>Month</t>
  </si>
  <si>
    <t>Base Pay</t>
  </si>
  <si>
    <t>Multiplier</t>
  </si>
  <si>
    <t>Average</t>
  </si>
  <si>
    <t>Single</t>
  </si>
  <si>
    <t>Married</t>
  </si>
  <si>
    <t>Child Only</t>
  </si>
  <si>
    <t>Additional Child</t>
  </si>
  <si>
    <t>Disability Rating</t>
  </si>
  <si>
    <t>Family Status</t>
  </si>
  <si>
    <t>Total Children</t>
  </si>
  <si>
    <t>Monthly Disability Pay</t>
  </si>
  <si>
    <t>Montly Retirement Pay</t>
  </si>
  <si>
    <t>Basic Active Service Date (BASD)</t>
  </si>
  <si>
    <t>Retirement Effective Date</t>
  </si>
  <si>
    <t>Number of Minor Dependents</t>
  </si>
  <si>
    <t>State Tax Rate (On Military Retirement)</t>
  </si>
  <si>
    <t>Months After 20 Years</t>
  </si>
  <si>
    <t>Retirement Multiplier</t>
  </si>
  <si>
    <t>High 3 Average</t>
  </si>
  <si>
    <t>Retirement Base Pay</t>
  </si>
  <si>
    <t>Disability Amount</t>
  </si>
  <si>
    <t>Total Taxes (State and Fed)</t>
  </si>
  <si>
    <t>SBP Cost</t>
  </si>
  <si>
    <t>x</t>
  </si>
  <si>
    <t>Disability Offset</t>
  </si>
  <si>
    <t>-</t>
  </si>
  <si>
    <t>Total Retirement Pay</t>
  </si>
  <si>
    <t>Total Retirement Benefit</t>
  </si>
  <si>
    <t>Total Taxable Benefit</t>
  </si>
  <si>
    <t>+</t>
  </si>
  <si>
    <t>Total Montly Payment</t>
  </si>
  <si>
    <t>Retirement Payments</t>
  </si>
  <si>
    <t>O-5</t>
  </si>
  <si>
    <t>O-4</t>
  </si>
  <si>
    <t>W-5</t>
  </si>
  <si>
    <t>W-4</t>
  </si>
  <si>
    <t>W-3</t>
  </si>
  <si>
    <t>W-2</t>
  </si>
  <si>
    <t>W-1</t>
  </si>
  <si>
    <t>E-9</t>
  </si>
  <si>
    <t>E-8</t>
  </si>
  <si>
    <t>E-7</t>
  </si>
  <si>
    <t>E-6</t>
  </si>
  <si>
    <t>E-5</t>
  </si>
  <si>
    <t>E-4</t>
  </si>
  <si>
    <t>E-3</t>
  </si>
  <si>
    <t>E-2</t>
  </si>
  <si>
    <t>O-10</t>
  </si>
  <si>
    <t>O-9</t>
  </si>
  <si>
    <t>O-8</t>
  </si>
  <si>
    <t>O-7</t>
  </si>
  <si>
    <t>O-6</t>
  </si>
  <si>
    <t>O-3</t>
  </si>
  <si>
    <t>O-2</t>
  </si>
  <si>
    <t>O-1</t>
  </si>
  <si>
    <t>E-1</t>
  </si>
  <si>
    <t>Date of Last Promotion</t>
  </si>
  <si>
    <t>Year</t>
  </si>
  <si>
    <t>Pay Chart Year</t>
  </si>
  <si>
    <t>Rank at Retirement</t>
  </si>
  <si>
    <t>Grade</t>
  </si>
  <si>
    <t>Pay Chart Table Name</t>
  </si>
  <si>
    <t>Column Index</t>
  </si>
  <si>
    <t>Pay Chart Header Rows</t>
  </si>
  <si>
    <t>Married with Child</t>
  </si>
  <si>
    <t>BAH</t>
  </si>
  <si>
    <t>BAS</t>
  </si>
  <si>
    <t>State Tax Rate Before Retirment</t>
  </si>
  <si>
    <t>State Tax Rate After Retirement</t>
  </si>
  <si>
    <t>Federal Taxes</t>
  </si>
  <si>
    <t>State Taxes</t>
  </si>
  <si>
    <t>Social Security</t>
  </si>
  <si>
    <t>Medicare</t>
  </si>
  <si>
    <t>Total Income</t>
  </si>
  <si>
    <t>Difference</t>
  </si>
  <si>
    <t>Medical</t>
  </si>
  <si>
    <t>401K</t>
  </si>
  <si>
    <t>401K Contribution</t>
  </si>
  <si>
    <t>Calculated Equivilent</t>
  </si>
  <si>
    <t>Insurance</t>
  </si>
  <si>
    <t>Playground</t>
  </si>
  <si>
    <t>Social Security/Medicare</t>
  </si>
  <si>
    <t>Retirement Pay Variables</t>
  </si>
  <si>
    <t>Income Planning Variables</t>
  </si>
  <si>
    <t>Monthly</t>
  </si>
  <si>
    <t>This sheet contains no editable fields.  No changes are required.</t>
  </si>
  <si>
    <t>Pre-Tax Deductions</t>
  </si>
  <si>
    <t>Transportation</t>
  </si>
  <si>
    <t>Child Care</t>
  </si>
  <si>
    <t>Total Pre-Tax Deductions</t>
  </si>
  <si>
    <t>Taxes</t>
  </si>
  <si>
    <t>Taxable Income</t>
  </si>
  <si>
    <t>Total Taxes</t>
  </si>
  <si>
    <t>Federal Tax Deduction</t>
  </si>
  <si>
    <t>Yearly Take Home Pay</t>
  </si>
  <si>
    <t>Head of Household</t>
  </si>
  <si>
    <t>Joint</t>
  </si>
  <si>
    <t>Total</t>
  </si>
  <si>
    <t>Filing Status</t>
  </si>
  <si>
    <t>Status</t>
  </si>
  <si>
    <t>Column</t>
  </si>
  <si>
    <t>Pre-Retirement</t>
  </si>
  <si>
    <t>Not Adjusted</t>
  </si>
  <si>
    <t>Equivalent</t>
  </si>
  <si>
    <t>Pre-Tax Transportation</t>
  </si>
  <si>
    <t>Pre-Tax Child Care</t>
  </si>
  <si>
    <t>Monthly Take Home</t>
  </si>
  <si>
    <t>Name</t>
  </si>
  <si>
    <t>Rank at Seperation</t>
  </si>
  <si>
    <t>Will you Retire?</t>
  </si>
  <si>
    <t>Seperation Date</t>
  </si>
  <si>
    <t>Family Status (For Disability Purposes)</t>
  </si>
  <si>
    <t>Number of Minor Dependents (for Disability Purposes)</t>
  </si>
  <si>
    <t>Yes</t>
  </si>
  <si>
    <t>No</t>
  </si>
  <si>
    <t>Do you Expect to Collect Disability?</t>
  </si>
  <si>
    <t>Federal Income Tax Deduction</t>
  </si>
  <si>
    <t>Transportation Fund</t>
  </si>
  <si>
    <t>Basic Information</t>
  </si>
  <si>
    <t>Base Salary</t>
  </si>
  <si>
    <t>Bonuses</t>
  </si>
  <si>
    <t>Assignment Incentive Pay</t>
  </si>
  <si>
    <t>Others</t>
  </si>
  <si>
    <t>Basic Allowance for Housing (BAH)</t>
  </si>
  <si>
    <t>Basic Allowance for Subsistance (BAS)</t>
  </si>
  <si>
    <t>Military Income (Taxible) (Monthly)</t>
  </si>
  <si>
    <t>Military Income (Non-Taxible) (Monthly)</t>
  </si>
  <si>
    <t>Federal Income Tax Filing Status</t>
  </si>
  <si>
    <t>Will You Utilize SRB</t>
  </si>
  <si>
    <t>Salary</t>
  </si>
  <si>
    <t>Other Taxible Income</t>
  </si>
  <si>
    <t>Bonuses and other Incentives</t>
  </si>
  <si>
    <t>Bonuses/Incentives</t>
  </si>
  <si>
    <t>Other</t>
  </si>
  <si>
    <t>Non-Taxable Income</t>
  </si>
  <si>
    <t>Total Taxable Income</t>
  </si>
  <si>
    <t>Total Non-Taxable Income</t>
  </si>
  <si>
    <t>Adjusted Taxable Income</t>
  </si>
  <si>
    <t>Federal Deduction (Standard or Itemized)</t>
  </si>
  <si>
    <t>Retirement Pay</t>
  </si>
  <si>
    <t>VA Disability</t>
  </si>
  <si>
    <t>Post-Seperation</t>
  </si>
  <si>
    <t>401K Contribution (Percent of Base)</t>
  </si>
  <si>
    <t>Health/Dental Insurance</t>
  </si>
  <si>
    <t>SBP</t>
  </si>
  <si>
    <t>Is Military Retirement Taxed by State</t>
  </si>
  <si>
    <t>Summary Pre-Retirement</t>
  </si>
  <si>
    <t>Summary Post Seperation</t>
  </si>
  <si>
    <t>Yearly (Pre-Seperation)</t>
  </si>
  <si>
    <t>Marginal Federal Tax Rate</t>
  </si>
  <si>
    <t>Calculated Adjusted Income</t>
  </si>
  <si>
    <t>Calculated Total Income</t>
  </si>
  <si>
    <t>Yearly Take Home Difference</t>
  </si>
  <si>
    <t>Monthly Take Home Difference</t>
  </si>
  <si>
    <t>401K Percetage (Playground Only)</t>
  </si>
  <si>
    <t>Will You Utilize SBP</t>
  </si>
  <si>
    <t>Post Separation Pre-Tax Contributions (Yearly)</t>
  </si>
  <si>
    <t>Post Separation Employment Pay (Yearly)</t>
  </si>
  <si>
    <t>State Income Tax Rate (Pre-Separation)</t>
  </si>
  <si>
    <t>State Income Tax Rate (Post-Separation)</t>
  </si>
  <si>
    <t>Yearly(Post-Separation Not Adjusted)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</si>
</sst>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0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ABAB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8">
    <xf numFmtId="0" fontId="0" fillId="0" borderId="0" xfId="0"/>
    <xf numFmtId="44" fontId="0" fillId="0" borderId="0" xfId="1" applyFont="1" applyFill="1"/>
    <xf numFmtId="164" fontId="0" fillId="0" borderId="0" xfId="2" applyNumberFormat="1" applyFont="1" applyBorder="1"/>
    <xf numFmtId="44" fontId="0" fillId="0" borderId="4" xfId="0" applyNumberFormat="1" applyBorder="1"/>
    <xf numFmtId="0" fontId="0" fillId="0" borderId="4" xfId="0" applyBorder="1"/>
    <xf numFmtId="44" fontId="2" fillId="2" borderId="0" xfId="0" applyNumberFormat="1" applyFont="1" applyFill="1"/>
    <xf numFmtId="0" fontId="0" fillId="0" borderId="1" xfId="0" applyBorder="1"/>
    <xf numFmtId="0" fontId="3" fillId="0" borderId="0" xfId="0" applyFont="1"/>
    <xf numFmtId="0" fontId="0" fillId="0" borderId="7" xfId="0" applyBorder="1"/>
    <xf numFmtId="44" fontId="3" fillId="3" borderId="6" xfId="0" applyNumberFormat="1" applyFont="1" applyFill="1" applyBorder="1"/>
    <xf numFmtId="0" fontId="3" fillId="3" borderId="1" xfId="0" applyFont="1" applyFill="1" applyBorder="1"/>
    <xf numFmtId="0" fontId="5" fillId="4" borderId="1" xfId="0" applyFont="1" applyFill="1" applyBorder="1" applyAlignment="1">
      <alignment horizontal="left" vertical="top"/>
    </xf>
    <xf numFmtId="4" fontId="4" fillId="4" borderId="1" xfId="0" applyNumberFormat="1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left" vertical="center"/>
    </xf>
    <xf numFmtId="4" fontId="4" fillId="4" borderId="1" xfId="0" applyNumberFormat="1" applyFont="1" applyFill="1" applyBorder="1" applyAlignment="1">
      <alignment horizontal="left" vertical="center"/>
    </xf>
    <xf numFmtId="4" fontId="0" fillId="0" borderId="1" xfId="0" applyNumberFormat="1" applyBorder="1"/>
    <xf numFmtId="4" fontId="0" fillId="0" borderId="1" xfId="0" applyNumberFormat="1" applyBorder="1" applyAlignment="1">
      <alignment horizontal="right"/>
    </xf>
    <xf numFmtId="4" fontId="4" fillId="4" borderId="1" xfId="0" applyNumberFormat="1" applyFont="1" applyFill="1" applyBorder="1" applyAlignment="1">
      <alignment horizontal="right" vertical="top"/>
    </xf>
    <xf numFmtId="4" fontId="4" fillId="4" borderId="1" xfId="0" applyNumberFormat="1" applyFont="1" applyFill="1" applyBorder="1" applyAlignment="1">
      <alignment horizontal="right" vertical="center"/>
    </xf>
    <xf numFmtId="4" fontId="4" fillId="4" borderId="8" xfId="0" applyNumberFormat="1" applyFont="1" applyFill="1" applyBorder="1" applyAlignment="1">
      <alignment horizontal="center" vertical="top" wrapText="1"/>
    </xf>
    <xf numFmtId="0" fontId="4" fillId="4" borderId="8" xfId="0" applyFont="1" applyFill="1" applyBorder="1" applyAlignment="1">
      <alignment horizontal="left" vertical="top" wrapText="1"/>
    </xf>
    <xf numFmtId="4" fontId="4" fillId="4" borderId="8" xfId="0" applyNumberFormat="1" applyFont="1" applyFill="1" applyBorder="1" applyAlignment="1">
      <alignment horizontal="left" vertical="top" wrapText="1"/>
    </xf>
    <xf numFmtId="44" fontId="0" fillId="0" borderId="0" xfId="0" applyNumberFormat="1"/>
    <xf numFmtId="44" fontId="3" fillId="3" borderId="0" xfId="0" applyNumberFormat="1" applyFont="1" applyFill="1"/>
    <xf numFmtId="44" fontId="0" fillId="5" borderId="1" xfId="1" applyFont="1" applyFill="1" applyBorder="1" applyProtection="1">
      <protection locked="0"/>
    </xf>
    <xf numFmtId="15" fontId="0" fillId="5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9" fontId="0" fillId="5" borderId="1" xfId="2" applyFont="1" applyFill="1" applyBorder="1" applyProtection="1">
      <protection locked="0"/>
    </xf>
    <xf numFmtId="9" fontId="0" fillId="0" borderId="0" xfId="2" applyFont="1" applyFill="1"/>
    <xf numFmtId="17" fontId="0" fillId="0" borderId="0" xfId="0" applyNumberFormat="1"/>
    <xf numFmtId="9" fontId="0" fillId="0" borderId="0" xfId="2" applyFont="1"/>
    <xf numFmtId="1" fontId="0" fillId="0" borderId="0" xfId="0" applyNumberFormat="1"/>
    <xf numFmtId="164" fontId="0" fillId="0" borderId="0" xfId="2" applyNumberFormat="1" applyFont="1" applyFill="1"/>
    <xf numFmtId="14" fontId="0" fillId="5" borderId="1" xfId="0" applyNumberFormat="1" applyFill="1" applyBorder="1" applyProtection="1">
      <protection locked="0"/>
    </xf>
    <xf numFmtId="44" fontId="0" fillId="5" borderId="7" xfId="1" applyFont="1" applyFill="1" applyBorder="1" applyProtection="1">
      <protection locked="0"/>
    </xf>
    <xf numFmtId="15" fontId="0" fillId="0" borderId="1" xfId="0" applyNumberFormat="1" applyBorder="1"/>
    <xf numFmtId="15" fontId="0" fillId="0" borderId="0" xfId="0" applyNumberFormat="1"/>
    <xf numFmtId="44" fontId="0" fillId="0" borderId="0" xfId="1" applyFont="1" applyFill="1" applyBorder="1" applyProtection="1"/>
    <xf numFmtId="44" fontId="0" fillId="0" borderId="0" xfId="1" applyFont="1" applyProtection="1"/>
    <xf numFmtId="9" fontId="0" fillId="0" borderId="0" xfId="2" applyFont="1" applyFill="1" applyBorder="1" applyProtection="1"/>
    <xf numFmtId="9" fontId="0" fillId="0" borderId="0" xfId="0" applyNumberFormat="1"/>
    <xf numFmtId="14" fontId="0" fillId="0" borderId="0" xfId="0" applyNumberFormat="1"/>
    <xf numFmtId="9" fontId="0" fillId="0" borderId="0" xfId="2" applyFont="1" applyProtection="1"/>
    <xf numFmtId="15" fontId="0" fillId="0" borderId="0" xfId="2" applyNumberFormat="1" applyFont="1" applyProtection="1"/>
    <xf numFmtId="0" fontId="3" fillId="0" borderId="0" xfId="0" applyFont="1" applyAlignment="1">
      <alignment horizontal="center"/>
    </xf>
    <xf numFmtId="44" fontId="0" fillId="0" borderId="0" xfId="1" applyFont="1" applyBorder="1" applyProtection="1"/>
    <xf numFmtId="44" fontId="0" fillId="0" borderId="1" xfId="1" applyFont="1" applyBorder="1" applyProtection="1"/>
    <xf numFmtId="44" fontId="0" fillId="2" borderId="7" xfId="1" applyFont="1" applyFill="1" applyBorder="1" applyProtection="1"/>
    <xf numFmtId="44" fontId="0" fillId="0" borderId="7" xfId="1" applyFont="1" applyBorder="1" applyProtection="1"/>
    <xf numFmtId="44" fontId="3" fillId="7" borderId="9" xfId="1" applyFont="1" applyFill="1" applyBorder="1" applyProtection="1"/>
    <xf numFmtId="44" fontId="0" fillId="7" borderId="9" xfId="1" applyFont="1" applyFill="1" applyBorder="1" applyProtection="1"/>
    <xf numFmtId="44" fontId="0" fillId="2" borderId="1" xfId="1" applyFont="1" applyFill="1" applyBorder="1" applyProtection="1"/>
    <xf numFmtId="44" fontId="3" fillId="7" borderId="10" xfId="1" applyFont="1" applyFill="1" applyBorder="1" applyProtection="1"/>
    <xf numFmtId="44" fontId="0" fillId="7" borderId="10" xfId="1" applyFont="1" applyFill="1" applyBorder="1" applyProtection="1"/>
    <xf numFmtId="44" fontId="0" fillId="8" borderId="9" xfId="1" applyFont="1" applyFill="1" applyBorder="1" applyProtection="1"/>
    <xf numFmtId="44" fontId="0" fillId="0" borderId="11" xfId="1" applyFont="1" applyBorder="1" applyProtection="1"/>
    <xf numFmtId="44" fontId="3" fillId="8" borderId="10" xfId="1" applyFont="1" applyFill="1" applyBorder="1" applyProtection="1"/>
    <xf numFmtId="44" fontId="0" fillId="8" borderId="10" xfId="1" applyFont="1" applyFill="1" applyBorder="1" applyProtection="1"/>
    <xf numFmtId="44" fontId="3" fillId="7" borderId="1" xfId="1" applyFont="1" applyFill="1" applyBorder="1" applyProtection="1"/>
    <xf numFmtId="44" fontId="0" fillId="7" borderId="1" xfId="1" applyFont="1" applyFill="1" applyBorder="1" applyProtection="1"/>
    <xf numFmtId="9" fontId="0" fillId="0" borderId="1" xfId="2" applyFont="1" applyFill="1" applyBorder="1" applyProtection="1"/>
    <xf numFmtId="0" fontId="3" fillId="0" borderId="1" xfId="0" applyFont="1" applyBorder="1" applyAlignment="1">
      <alignment horizontal="center"/>
    </xf>
    <xf numFmtId="10" fontId="0" fillId="5" borderId="1" xfId="2" applyNumberFormat="1" applyFont="1" applyFill="1" applyBorder="1" applyProtection="1">
      <protection locked="0"/>
    </xf>
    <xf numFmtId="10" fontId="0" fillId="0" borderId="0" xfId="0" applyNumberFormat="1"/>
    <xf numFmtId="2" fontId="4" fillId="4" borderId="8" xfId="0" applyNumberFormat="1" applyFont="1" applyFill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wrapText="1"/>
    </xf>
    <xf numFmtId="10" fontId="0" fillId="0" borderId="1" xfId="2" applyNumberFormat="1" applyFont="1" applyFill="1" applyBorder="1" applyProtection="1"/>
    <xf numFmtId="0" fontId="3" fillId="0" borderId="1" xfId="0" applyFont="1" applyBorder="1"/>
    <xf numFmtId="44" fontId="0" fillId="0" borderId="1" xfId="1" applyFont="1" applyFill="1" applyBorder="1" applyProtection="1"/>
    <xf numFmtId="44" fontId="3" fillId="0" borderId="9" xfId="1" applyFont="1" applyBorder="1" applyProtection="1"/>
    <xf numFmtId="44" fontId="0" fillId="2" borderId="9" xfId="1" applyFont="1" applyFill="1" applyBorder="1" applyProtection="1"/>
    <xf numFmtId="44" fontId="0" fillId="2" borderId="11" xfId="1" applyFont="1" applyFill="1" applyBorder="1" applyProtection="1"/>
    <xf numFmtId="44" fontId="0" fillId="0" borderId="9" xfId="1" applyFont="1" applyBorder="1" applyProtection="1"/>
    <xf numFmtId="0" fontId="0" fillId="2" borderId="1" xfId="0" applyFill="1" applyBorder="1"/>
    <xf numFmtId="44" fontId="3" fillId="0" borderId="1" xfId="0" applyNumberFormat="1" applyFont="1" applyBorder="1"/>
    <xf numFmtId="4" fontId="4" fillId="4" borderId="8" xfId="0" applyNumberFormat="1" applyFont="1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4" fontId="0" fillId="3" borderId="1" xfId="1" applyFont="1" applyFill="1" applyBorder="1" applyAlignment="1" applyProtection="1">
      <alignment horizont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AB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FC7F0-E0A9-49E7-ABA1-614EACBA16BD}">
  <sheetPr>
    <tabColor rgb="FF00B050"/>
  </sheetPr>
  <dimension ref="A1:E68"/>
  <sheetViews>
    <sheetView zoomScaleNormal="100" workbookViewId="0">
      <selection activeCell="C26" sqref="C26"/>
    </sheetView>
  </sheetViews>
  <sheetFormatPr defaultRowHeight="15" x14ac:dyDescent="0.25"/>
  <cols>
    <col min="1" max="1" width="50.7109375" bestFit="1" customWidth="1"/>
    <col min="2" max="3" width="17.7109375" bestFit="1" customWidth="1"/>
    <col min="4" max="4" width="12.28515625" bestFit="1" customWidth="1"/>
    <col min="5" max="5" width="17.7109375" hidden="1" customWidth="1"/>
  </cols>
  <sheetData>
    <row r="1" spans="1:5" x14ac:dyDescent="0.25">
      <c r="A1" s="78" t="s">
        <v>119</v>
      </c>
      <c r="B1" s="78"/>
    </row>
    <row r="2" spans="1:5" x14ac:dyDescent="0.25">
      <c r="A2" s="6" t="s">
        <v>108</v>
      </c>
      <c r="B2" s="26"/>
    </row>
    <row r="3" spans="1:5" x14ac:dyDescent="0.25">
      <c r="A3" s="6" t="s">
        <v>109</v>
      </c>
      <c r="B3" s="26" t="s">
        <v>36</v>
      </c>
      <c r="E3" t="str">
        <f t="shared" ref="E3:E9" si="0">B3</f>
        <v>W-4</v>
      </c>
    </row>
    <row r="4" spans="1:5" x14ac:dyDescent="0.25">
      <c r="A4" s="6" t="s">
        <v>13</v>
      </c>
      <c r="B4" s="25">
        <v>36526</v>
      </c>
      <c r="C4" s="36"/>
      <c r="D4" s="36"/>
      <c r="E4" s="36">
        <f t="shared" si="0"/>
        <v>36526</v>
      </c>
    </row>
    <row r="5" spans="1:5" x14ac:dyDescent="0.25">
      <c r="A5" s="6" t="s">
        <v>111</v>
      </c>
      <c r="B5" s="25">
        <v>44197</v>
      </c>
      <c r="C5" s="36"/>
      <c r="D5" s="36"/>
      <c r="E5" s="36">
        <f t="shared" si="0"/>
        <v>44197</v>
      </c>
    </row>
    <row r="6" spans="1:5" x14ac:dyDescent="0.25">
      <c r="A6" s="6" t="s">
        <v>128</v>
      </c>
      <c r="B6" s="25" t="s">
        <v>97</v>
      </c>
      <c r="C6" s="36"/>
      <c r="D6" s="36"/>
      <c r="E6" s="36" t="str">
        <f t="shared" si="0"/>
        <v>Joint</v>
      </c>
    </row>
    <row r="7" spans="1:5" x14ac:dyDescent="0.25">
      <c r="A7" s="6" t="s">
        <v>117</v>
      </c>
      <c r="B7" s="24">
        <v>27700</v>
      </c>
      <c r="C7" s="37"/>
      <c r="D7" s="37"/>
      <c r="E7" s="38">
        <f t="shared" si="0"/>
        <v>27700</v>
      </c>
    </row>
    <row r="8" spans="1:5" x14ac:dyDescent="0.25">
      <c r="A8" s="6" t="s">
        <v>159</v>
      </c>
      <c r="B8" s="27">
        <v>0</v>
      </c>
      <c r="C8" s="39"/>
      <c r="D8" s="39"/>
      <c r="E8" s="40">
        <f t="shared" si="0"/>
        <v>0</v>
      </c>
    </row>
    <row r="9" spans="1:5" x14ac:dyDescent="0.25">
      <c r="A9" s="6" t="s">
        <v>160</v>
      </c>
      <c r="B9" s="62">
        <v>7.0999999999999994E-2</v>
      </c>
      <c r="C9" s="39"/>
      <c r="D9" s="39"/>
      <c r="E9" s="63">
        <f t="shared" si="0"/>
        <v>7.0999999999999994E-2</v>
      </c>
    </row>
    <row r="10" spans="1:5" x14ac:dyDescent="0.25">
      <c r="A10" s="6" t="s">
        <v>110</v>
      </c>
      <c r="B10" s="26" t="s">
        <v>114</v>
      </c>
    </row>
    <row r="11" spans="1:5" x14ac:dyDescent="0.25">
      <c r="A11" s="6" t="s">
        <v>57</v>
      </c>
      <c r="B11" s="33">
        <v>43466</v>
      </c>
      <c r="C11" s="41"/>
      <c r="D11" s="41"/>
      <c r="E11" s="41">
        <f>IF(B10="Yes",B11,"")</f>
        <v>43466</v>
      </c>
    </row>
    <row r="12" spans="1:5" x14ac:dyDescent="0.25">
      <c r="A12" s="6" t="s">
        <v>146</v>
      </c>
      <c r="B12" s="25" t="s">
        <v>114</v>
      </c>
      <c r="C12" s="39"/>
      <c r="D12" s="39"/>
      <c r="E12" s="42">
        <f>IF(AND(B12="Yes",B10="Yes"),E9,0)</f>
        <v>7.0999999999999994E-2</v>
      </c>
    </row>
    <row r="13" spans="1:5" x14ac:dyDescent="0.25">
      <c r="A13" s="6" t="s">
        <v>156</v>
      </c>
      <c r="B13" s="25" t="s">
        <v>114</v>
      </c>
      <c r="C13" s="36"/>
      <c r="D13" s="36"/>
      <c r="E13" s="43" t="str">
        <f>B13</f>
        <v>Yes</v>
      </c>
    </row>
    <row r="14" spans="1:5" x14ac:dyDescent="0.25">
      <c r="A14" s="6" t="s">
        <v>116</v>
      </c>
      <c r="B14" s="25" t="s">
        <v>114</v>
      </c>
      <c r="C14" s="36"/>
      <c r="D14" s="36"/>
    </row>
    <row r="15" spans="1:5" x14ac:dyDescent="0.25">
      <c r="A15" s="6" t="s">
        <v>8</v>
      </c>
      <c r="B15" s="26">
        <v>80</v>
      </c>
      <c r="E15">
        <f>IF(B14="Yes",B15,0)</f>
        <v>80</v>
      </c>
    </row>
    <row r="16" spans="1:5" x14ac:dyDescent="0.25">
      <c r="A16" s="6" t="s">
        <v>112</v>
      </c>
      <c r="B16" s="26" t="s">
        <v>65</v>
      </c>
      <c r="E16" t="str">
        <f>IF(B14="Yes",B16,"")</f>
        <v>Married with Child</v>
      </c>
    </row>
    <row r="17" spans="1:5" x14ac:dyDescent="0.25">
      <c r="A17" s="6" t="s">
        <v>113</v>
      </c>
      <c r="B17" s="26">
        <v>2</v>
      </c>
      <c r="E17">
        <f>IF(B14="Yes",B17,0)</f>
        <v>2</v>
      </c>
    </row>
    <row r="18" spans="1:5" x14ac:dyDescent="0.25">
      <c r="A18" s="78" t="s">
        <v>126</v>
      </c>
      <c r="B18" s="78"/>
      <c r="C18" s="44"/>
      <c r="D18" s="44"/>
    </row>
    <row r="19" spans="1:5" x14ac:dyDescent="0.25">
      <c r="A19" s="6" t="s">
        <v>120</v>
      </c>
      <c r="B19" s="24">
        <v>7309</v>
      </c>
      <c r="C19" s="37"/>
      <c r="D19" s="37"/>
      <c r="E19">
        <f>B19*12</f>
        <v>87708</v>
      </c>
    </row>
    <row r="20" spans="1:5" x14ac:dyDescent="0.25">
      <c r="A20" s="6" t="s">
        <v>121</v>
      </c>
      <c r="B20" s="24">
        <v>0</v>
      </c>
      <c r="C20" s="37"/>
      <c r="D20" s="37"/>
      <c r="E20">
        <f t="shared" ref="E20:E22" si="1">B20*12</f>
        <v>0</v>
      </c>
    </row>
    <row r="21" spans="1:5" x14ac:dyDescent="0.25">
      <c r="A21" s="6" t="s">
        <v>122</v>
      </c>
      <c r="B21" s="24">
        <v>200</v>
      </c>
      <c r="C21" s="37"/>
      <c r="D21" s="37"/>
      <c r="E21">
        <f t="shared" si="1"/>
        <v>2400</v>
      </c>
    </row>
    <row r="22" spans="1:5" x14ac:dyDescent="0.25">
      <c r="A22" s="6" t="s">
        <v>123</v>
      </c>
      <c r="B22" s="24">
        <v>0</v>
      </c>
      <c r="C22" s="37"/>
      <c r="D22" s="37"/>
      <c r="E22">
        <f t="shared" si="1"/>
        <v>0</v>
      </c>
    </row>
    <row r="23" spans="1:5" x14ac:dyDescent="0.25">
      <c r="A23" s="78" t="s">
        <v>127</v>
      </c>
      <c r="B23" s="78"/>
      <c r="C23" s="44"/>
      <c r="D23" s="44"/>
    </row>
    <row r="24" spans="1:5" x14ac:dyDescent="0.25">
      <c r="A24" s="6" t="s">
        <v>124</v>
      </c>
      <c r="B24" s="24">
        <v>2600</v>
      </c>
      <c r="C24" s="37"/>
      <c r="D24" s="37"/>
      <c r="E24">
        <f t="shared" ref="E24:E26" si="2">B24*12</f>
        <v>31200</v>
      </c>
    </row>
    <row r="25" spans="1:5" x14ac:dyDescent="0.25">
      <c r="A25" s="6" t="s">
        <v>125</v>
      </c>
      <c r="B25" s="24">
        <v>323</v>
      </c>
      <c r="C25" s="37"/>
      <c r="D25" s="37"/>
      <c r="E25">
        <f t="shared" si="2"/>
        <v>3876</v>
      </c>
    </row>
    <row r="26" spans="1:5" x14ac:dyDescent="0.25">
      <c r="A26" s="6" t="s">
        <v>123</v>
      </c>
      <c r="B26" s="24">
        <v>0</v>
      </c>
      <c r="C26" s="37"/>
      <c r="D26" s="37"/>
      <c r="E26">
        <f t="shared" si="2"/>
        <v>0</v>
      </c>
    </row>
    <row r="27" spans="1:5" x14ac:dyDescent="0.25">
      <c r="A27" s="78" t="s">
        <v>158</v>
      </c>
      <c r="B27" s="78"/>
      <c r="C27" s="44"/>
      <c r="D27" s="44"/>
    </row>
    <row r="28" spans="1:5" x14ac:dyDescent="0.25">
      <c r="A28" s="6" t="s">
        <v>130</v>
      </c>
      <c r="B28" s="24">
        <v>167000</v>
      </c>
      <c r="C28" s="37"/>
      <c r="D28" s="37"/>
      <c r="E28">
        <f t="shared" ref="E28:E30" si="3">B28</f>
        <v>167000</v>
      </c>
    </row>
    <row r="29" spans="1:5" x14ac:dyDescent="0.25">
      <c r="A29" s="6" t="s">
        <v>132</v>
      </c>
      <c r="B29" s="24">
        <v>0</v>
      </c>
      <c r="C29" s="37"/>
      <c r="D29" s="37"/>
      <c r="E29">
        <f t="shared" si="3"/>
        <v>0</v>
      </c>
    </row>
    <row r="30" spans="1:5" x14ac:dyDescent="0.25">
      <c r="A30" s="6" t="s">
        <v>131</v>
      </c>
      <c r="B30" s="24">
        <v>0</v>
      </c>
      <c r="C30" s="37"/>
      <c r="D30" s="37"/>
      <c r="E30">
        <f t="shared" si="3"/>
        <v>0</v>
      </c>
    </row>
    <row r="31" spans="1:5" x14ac:dyDescent="0.25">
      <c r="A31" s="78" t="s">
        <v>157</v>
      </c>
      <c r="B31" s="78"/>
      <c r="C31" s="44"/>
      <c r="D31" s="44"/>
    </row>
    <row r="32" spans="1:5" x14ac:dyDescent="0.25">
      <c r="A32" s="6" t="s">
        <v>143</v>
      </c>
      <c r="B32" s="27">
        <v>0.06</v>
      </c>
      <c r="C32" s="39"/>
      <c r="D32" s="39"/>
      <c r="E32">
        <f>B32</f>
        <v>0.06</v>
      </c>
    </row>
    <row r="33" spans="1:5" x14ac:dyDescent="0.25">
      <c r="A33" s="6" t="s">
        <v>144</v>
      </c>
      <c r="B33" s="24">
        <v>0</v>
      </c>
      <c r="C33" s="37"/>
      <c r="D33" s="37"/>
      <c r="E33">
        <f>B33</f>
        <v>0</v>
      </c>
    </row>
    <row r="34" spans="1:5" x14ac:dyDescent="0.25">
      <c r="A34" s="6" t="s">
        <v>118</v>
      </c>
      <c r="B34" s="24">
        <v>0</v>
      </c>
      <c r="C34" s="37"/>
      <c r="D34" s="37"/>
      <c r="E34">
        <f>B34</f>
        <v>0</v>
      </c>
    </row>
    <row r="35" spans="1:5" x14ac:dyDescent="0.25">
      <c r="A35" s="6" t="s">
        <v>89</v>
      </c>
      <c r="B35" s="24">
        <v>0</v>
      </c>
      <c r="C35" s="37"/>
      <c r="D35" s="37"/>
      <c r="E35">
        <f>B35</f>
        <v>0</v>
      </c>
    </row>
    <row r="36" spans="1:5" x14ac:dyDescent="0.25">
      <c r="B36" s="45"/>
      <c r="C36" s="45"/>
      <c r="D36" s="45"/>
    </row>
    <row r="38" spans="1:5" x14ac:dyDescent="0.25">
      <c r="A38" s="6"/>
      <c r="B38" s="61" t="s">
        <v>102</v>
      </c>
      <c r="C38" s="61" t="s">
        <v>142</v>
      </c>
      <c r="D38" s="61" t="s">
        <v>75</v>
      </c>
    </row>
    <row r="39" spans="1:5" x14ac:dyDescent="0.25">
      <c r="A39" s="77" t="s">
        <v>92</v>
      </c>
      <c r="B39" s="77"/>
      <c r="C39" s="77"/>
      <c r="D39" s="77"/>
    </row>
    <row r="40" spans="1:5" x14ac:dyDescent="0.25">
      <c r="A40" s="6" t="s">
        <v>1</v>
      </c>
      <c r="B40" s="46">
        <f>E19</f>
        <v>87708</v>
      </c>
      <c r="C40" s="46">
        <v>200000</v>
      </c>
      <c r="D40" s="46">
        <f>C40-B40</f>
        <v>112292</v>
      </c>
    </row>
    <row r="41" spans="1:5" x14ac:dyDescent="0.25">
      <c r="A41" s="6" t="s">
        <v>133</v>
      </c>
      <c r="B41" s="46">
        <f>SUM(E20:E21)</f>
        <v>2400</v>
      </c>
      <c r="C41" s="46">
        <v>12000</v>
      </c>
      <c r="D41" s="46">
        <f t="shared" ref="D41:D43" si="4">C41-B41</f>
        <v>9600</v>
      </c>
    </row>
    <row r="42" spans="1:5" x14ac:dyDescent="0.25">
      <c r="A42" s="6" t="s">
        <v>134</v>
      </c>
      <c r="B42" s="46">
        <f>E22</f>
        <v>0</v>
      </c>
      <c r="C42" s="46">
        <f>E30</f>
        <v>0</v>
      </c>
      <c r="D42" s="46">
        <f t="shared" si="4"/>
        <v>0</v>
      </c>
    </row>
    <row r="43" spans="1:5" ht="15.75" thickBot="1" x14ac:dyDescent="0.3">
      <c r="A43" s="6" t="s">
        <v>140</v>
      </c>
      <c r="B43" s="47">
        <v>0</v>
      </c>
      <c r="C43" s="48">
        <f ca="1">IFERROR('Retirment Pay Summary'!F6*12,0)</f>
        <v>42371.194864864847</v>
      </c>
      <c r="D43" s="48">
        <f t="shared" ca="1" si="4"/>
        <v>42371.194864864847</v>
      </c>
    </row>
    <row r="44" spans="1:5" x14ac:dyDescent="0.25">
      <c r="A44" s="6" t="s">
        <v>136</v>
      </c>
      <c r="B44" s="49">
        <f>SUM(B40:B43)</f>
        <v>90108</v>
      </c>
      <c r="C44" s="49">
        <f ca="1">SUM(C40:C43)</f>
        <v>254371.19486486484</v>
      </c>
      <c r="D44" s="50">
        <f ca="1">C44-B44</f>
        <v>164263.19486486484</v>
      </c>
    </row>
    <row r="45" spans="1:5" x14ac:dyDescent="0.25">
      <c r="A45" s="77" t="s">
        <v>135</v>
      </c>
      <c r="B45" s="77"/>
      <c r="C45" s="77"/>
      <c r="D45" s="77"/>
    </row>
    <row r="46" spans="1:5" x14ac:dyDescent="0.25">
      <c r="A46" s="6" t="s">
        <v>66</v>
      </c>
      <c r="B46" s="46">
        <f>E24</f>
        <v>31200</v>
      </c>
      <c r="C46" s="51">
        <v>0</v>
      </c>
      <c r="D46" s="46">
        <f t="shared" ref="D46:D51" si="5">C46-B46</f>
        <v>-31200</v>
      </c>
    </row>
    <row r="47" spans="1:5" x14ac:dyDescent="0.25">
      <c r="A47" s="6" t="s">
        <v>67</v>
      </c>
      <c r="B47" s="46">
        <f>E25</f>
        <v>3876</v>
      </c>
      <c r="C47" s="51">
        <v>0</v>
      </c>
      <c r="D47" s="46">
        <f t="shared" si="5"/>
        <v>-3876</v>
      </c>
    </row>
    <row r="48" spans="1:5" x14ac:dyDescent="0.25">
      <c r="A48" s="6" t="s">
        <v>134</v>
      </c>
      <c r="B48" s="46">
        <f>E26</f>
        <v>0</v>
      </c>
      <c r="C48" s="51">
        <v>0</v>
      </c>
      <c r="D48" s="46">
        <f t="shared" si="5"/>
        <v>0</v>
      </c>
    </row>
    <row r="49" spans="1:4" ht="15.75" thickBot="1" x14ac:dyDescent="0.3">
      <c r="A49" s="6" t="s">
        <v>141</v>
      </c>
      <c r="B49" s="47">
        <v>0</v>
      </c>
      <c r="C49" s="48">
        <f>IFERROR('Retirment Pay Summary'!F12*12,0)</f>
        <v>28380.120000000003</v>
      </c>
      <c r="D49" s="48">
        <f t="shared" si="5"/>
        <v>28380.120000000003</v>
      </c>
    </row>
    <row r="50" spans="1:4" ht="15.75" thickBot="1" x14ac:dyDescent="0.3">
      <c r="A50" s="6" t="s">
        <v>137</v>
      </c>
      <c r="B50" s="52">
        <f>SUM(B46:B49)</f>
        <v>35076</v>
      </c>
      <c r="C50" s="52">
        <f>SUM(C46:C49)</f>
        <v>28380.120000000003</v>
      </c>
      <c r="D50" s="53">
        <f t="shared" si="5"/>
        <v>-6695.8799999999974</v>
      </c>
    </row>
    <row r="51" spans="1:4" ht="15.75" thickTop="1" x14ac:dyDescent="0.25">
      <c r="A51" s="6" t="s">
        <v>74</v>
      </c>
      <c r="B51" s="49">
        <f>B50+B44</f>
        <v>125184</v>
      </c>
      <c r="C51" s="49">
        <f ca="1">C50+C44</f>
        <v>282751.31486486486</v>
      </c>
      <c r="D51" s="50">
        <f t="shared" ca="1" si="5"/>
        <v>157567.31486486486</v>
      </c>
    </row>
    <row r="52" spans="1:4" x14ac:dyDescent="0.25">
      <c r="A52" s="77" t="s">
        <v>87</v>
      </c>
      <c r="B52" s="77"/>
      <c r="C52" s="77"/>
      <c r="D52" s="77"/>
    </row>
    <row r="53" spans="1:4" x14ac:dyDescent="0.25">
      <c r="A53" s="6" t="s">
        <v>145</v>
      </c>
      <c r="B53" s="51">
        <v>0</v>
      </c>
      <c r="C53" s="46">
        <f ca="1">IFERROR('Retirment Pay Summary'!F7*12,0)</f>
        <v>2754.1276662162149</v>
      </c>
      <c r="D53" s="46">
        <f t="shared" ref="D53:D60" ca="1" si="6">C53-B53</f>
        <v>2754.1276662162149</v>
      </c>
    </row>
    <row r="54" spans="1:4" x14ac:dyDescent="0.25">
      <c r="A54" s="6" t="s">
        <v>89</v>
      </c>
      <c r="B54" s="51">
        <v>0</v>
      </c>
      <c r="C54" s="46">
        <f>E35</f>
        <v>0</v>
      </c>
      <c r="D54" s="46">
        <f t="shared" si="6"/>
        <v>0</v>
      </c>
    </row>
    <row r="55" spans="1:4" x14ac:dyDescent="0.25">
      <c r="A55" s="6" t="s">
        <v>88</v>
      </c>
      <c r="B55" s="51">
        <v>0</v>
      </c>
      <c r="C55" s="46">
        <f>E34</f>
        <v>0</v>
      </c>
      <c r="D55" s="46">
        <f t="shared" si="6"/>
        <v>0</v>
      </c>
    </row>
    <row r="56" spans="1:4" x14ac:dyDescent="0.25">
      <c r="A56" s="6" t="s">
        <v>77</v>
      </c>
      <c r="B56" s="51">
        <v>0</v>
      </c>
      <c r="C56" s="46">
        <f>E28*E32</f>
        <v>10020</v>
      </c>
      <c r="D56" s="46">
        <f t="shared" si="6"/>
        <v>10020</v>
      </c>
    </row>
    <row r="57" spans="1:4" ht="15.75" thickBot="1" x14ac:dyDescent="0.3">
      <c r="A57" s="6" t="s">
        <v>76</v>
      </c>
      <c r="B57" s="51">
        <v>0</v>
      </c>
      <c r="C57" s="48">
        <f>E33</f>
        <v>0</v>
      </c>
      <c r="D57" s="48">
        <f t="shared" si="6"/>
        <v>0</v>
      </c>
    </row>
    <row r="58" spans="1:4" x14ac:dyDescent="0.25">
      <c r="A58" s="6" t="s">
        <v>90</v>
      </c>
      <c r="B58" s="51">
        <f>SUM(B53:B57)</f>
        <v>0</v>
      </c>
      <c r="C58" s="54">
        <f ca="1">SUM(C53:C57)</f>
        <v>12774.127666216214</v>
      </c>
      <c r="D58" s="54">
        <f t="shared" ca="1" si="6"/>
        <v>12774.127666216214</v>
      </c>
    </row>
    <row r="59" spans="1:4" ht="15.75" thickBot="1" x14ac:dyDescent="0.3">
      <c r="A59" s="6" t="s">
        <v>139</v>
      </c>
      <c r="B59" s="55">
        <f>E7</f>
        <v>27700</v>
      </c>
      <c r="C59" s="55">
        <f>E7</f>
        <v>27700</v>
      </c>
      <c r="D59" s="55">
        <f t="shared" si="6"/>
        <v>0</v>
      </c>
    </row>
    <row r="60" spans="1:4" ht="15.75" thickTop="1" x14ac:dyDescent="0.25">
      <c r="A60" s="6" t="s">
        <v>138</v>
      </c>
      <c r="B60" s="49">
        <f>B44-B58-B59</f>
        <v>62408</v>
      </c>
      <c r="C60" s="49">
        <f ca="1">C44-C58-C59</f>
        <v>213897.06719864861</v>
      </c>
      <c r="D60" s="50">
        <f t="shared" ca="1" si="6"/>
        <v>151489.06719864861</v>
      </c>
    </row>
    <row r="61" spans="1:4" x14ac:dyDescent="0.25">
      <c r="A61" s="77" t="s">
        <v>91</v>
      </c>
      <c r="B61" s="77"/>
      <c r="C61" s="77"/>
      <c r="D61" s="77"/>
    </row>
    <row r="62" spans="1:4" x14ac:dyDescent="0.25">
      <c r="A62" s="6" t="s">
        <v>70</v>
      </c>
      <c r="B62" s="46">
        <f>'Tax Brackets'!O19</f>
        <v>10452.499999999998</v>
      </c>
      <c r="C62" s="46">
        <f ca="1">'Tax Brackets'!O20</f>
        <v>49875.666767567556</v>
      </c>
      <c r="D62" s="46">
        <f t="shared" ref="D62:D68" ca="1" si="7">C62-B62</f>
        <v>39423.166767567556</v>
      </c>
    </row>
    <row r="63" spans="1:4" x14ac:dyDescent="0.25">
      <c r="A63" s="6" t="s">
        <v>71</v>
      </c>
      <c r="B63" s="46">
        <f>E8*B60</f>
        <v>0</v>
      </c>
      <c r="C63" s="46">
        <f ca="1">E9*C60</f>
        <v>15186.69177110405</v>
      </c>
      <c r="D63" s="46">
        <f t="shared" ca="1" si="7"/>
        <v>15186.69177110405</v>
      </c>
    </row>
    <row r="64" spans="1:4" x14ac:dyDescent="0.25">
      <c r="A64" s="6" t="s">
        <v>72</v>
      </c>
      <c r="B64" s="46">
        <f>MIN((B44-B58),147000)*0.062</f>
        <v>5586.6959999999999</v>
      </c>
      <c r="C64" s="46">
        <f ca="1">MIN((C44-C58),147000)*0.062</f>
        <v>9114</v>
      </c>
      <c r="D64" s="46">
        <f t="shared" ca="1" si="7"/>
        <v>3527.3040000000001</v>
      </c>
    </row>
    <row r="65" spans="1:4" ht="15.75" thickBot="1" x14ac:dyDescent="0.3">
      <c r="A65" s="6" t="s">
        <v>73</v>
      </c>
      <c r="B65" s="48">
        <f>(B44-B58)*0.0145</f>
        <v>1306.566</v>
      </c>
      <c r="C65" s="48">
        <f ca="1">(C44-C58)*0.0145</f>
        <v>3503.1574743804049</v>
      </c>
      <c r="D65" s="48">
        <f t="shared" ca="1" si="7"/>
        <v>2196.5914743804051</v>
      </c>
    </row>
    <row r="66" spans="1:4" ht="15.75" thickBot="1" x14ac:dyDescent="0.3">
      <c r="A66" s="6" t="s">
        <v>93</v>
      </c>
      <c r="B66" s="56">
        <f>SUM(B62:B65)</f>
        <v>17345.761999999999</v>
      </c>
      <c r="C66" s="56">
        <f ca="1">SUM(C62:C65)</f>
        <v>77679.516013052009</v>
      </c>
      <c r="D66" s="57">
        <f t="shared" ca="1" si="7"/>
        <v>60333.754013052006</v>
      </c>
    </row>
    <row r="67" spans="1:4" ht="15.75" thickTop="1" x14ac:dyDescent="0.25">
      <c r="A67" s="6" t="s">
        <v>95</v>
      </c>
      <c r="B67" s="49">
        <f>(B44-B58-B66)+B50</f>
        <v>107838.238</v>
      </c>
      <c r="C67" s="49">
        <f ca="1">(C44-C58-C66)+C50</f>
        <v>192297.67118559661</v>
      </c>
      <c r="D67" s="50">
        <f t="shared" ca="1" si="7"/>
        <v>84459.433185596616</v>
      </c>
    </row>
    <row r="68" spans="1:4" x14ac:dyDescent="0.25">
      <c r="A68" s="6" t="s">
        <v>107</v>
      </c>
      <c r="B68" s="58">
        <f>B67/12</f>
        <v>8986.5198333333337</v>
      </c>
      <c r="C68" s="58">
        <f ca="1">C67/12</f>
        <v>16024.805932133051</v>
      </c>
      <c r="D68" s="59">
        <f t="shared" ca="1" si="7"/>
        <v>7038.2860987997174</v>
      </c>
    </row>
  </sheetData>
  <mergeCells count="9">
    <mergeCell ref="A52:D52"/>
    <mergeCell ref="A45:D45"/>
    <mergeCell ref="A61:D61"/>
    <mergeCell ref="A31:B31"/>
    <mergeCell ref="A1:B1"/>
    <mergeCell ref="A18:B18"/>
    <mergeCell ref="A23:B23"/>
    <mergeCell ref="A27:B27"/>
    <mergeCell ref="A39:D39"/>
  </mergeCells>
  <conditionalFormatting sqref="A11:B13">
    <cfRule type="expression" dxfId="3" priority="2">
      <formula>NOT($B$10="Yes")</formula>
    </cfRule>
  </conditionalFormatting>
  <conditionalFormatting sqref="A15:B17">
    <cfRule type="expression" dxfId="2" priority="1">
      <formula>NOT($B$14="Yes")</formula>
    </cfRule>
  </conditionalFormatting>
  <dataValidations count="24">
    <dataValidation type="date" operator="greaterThanOrEqual" allowBlank="1" showInputMessage="1" showErrorMessage="1" errorTitle="Invalid Date" error="Please Enter a Valid Date" promptTitle="BASD" prompt="Please Enter the Date You Joined the Military" sqref="B4:D4" xr:uid="{8C46A083-2430-4749-82F3-B59B690BDEF8}">
      <formula1>1</formula1>
    </dataValidation>
    <dataValidation type="date" operator="greaterThanOrEqual" allowBlank="1" showInputMessage="1" showErrorMessage="1" errorTitle="Invalid Date" error="Please Enter a Valid Date" promptTitle="Seperation Date" prompt="Please Enter the Last Day You Will Be in the Military" sqref="B5:D5" xr:uid="{A21BF6D7-219E-492E-9754-F43174B1E381}">
      <formula1>1</formula1>
    </dataValidation>
    <dataValidation type="decimal" allowBlank="1" showInputMessage="1" showErrorMessage="1" errorTitle="Error" error="Enter a number between 0 and 99%" promptTitle="State Income Tax Rate" prompt="Enter the Income Tax Rate for the State You Pay Taxes in Currently." sqref="B8:D8" xr:uid="{2727CA38-E235-4FA6-8E5A-6259629C1B01}">
      <formula1>0</formula1>
      <formula2>0.99</formula2>
    </dataValidation>
    <dataValidation type="decimal" allowBlank="1" showInputMessage="1" showErrorMessage="1" errorTitle="Error" error="Enter a number between 0 and 99%." promptTitle="State Income Tax" prompt="Enter the Income Tax Rate for the State You Will Live in After Seperation." sqref="B9:D9" xr:uid="{B670BA80-3B91-443E-92A8-5A190F8DC83B}">
      <formula1>0</formula1>
      <formula2>0.99</formula2>
    </dataValidation>
    <dataValidation type="date" operator="greaterThanOrEqual" allowBlank="1" showInputMessage="1" showErrorMessage="1" errorTitle="Date Error" error="Enter a Valid Date" promptTitle="Promotion Date" prompt="What is the Date of your Last Promotion?" sqref="B11:D11" xr:uid="{C45EAC29-2212-4C1B-8A74-85284B9A493D}">
      <formula1>1</formula1>
    </dataValidation>
    <dataValidation type="decimal" allowBlank="1" showInputMessage="1" showErrorMessage="1" errorTitle="Error" error="Enter a number between 0 and 99%." promptTitle="State Tax on Retirement Pay" prompt="What is the State Tax Rate on Retirement Pay?" sqref="C12:D12" xr:uid="{FF4BB06F-E586-4702-A986-5097376F0209}">
      <formula1>0</formula1>
      <formula2>0.99</formula2>
    </dataValidation>
    <dataValidation type="whole" operator="greaterThanOrEqual" allowBlank="1" showInputMessage="1" showErrorMessage="1" errorTitle="Error" error="Enter the Number of Minor Dependants you have (for Disability Purposes)" promptTitle="Minor Dependants" prompt="Enter the Number of Minor Dependants you have (for Disability Purposes)" sqref="B17:D17 C24:D26 C19:D22 C28:D30" xr:uid="{2FE28404-7E6D-4684-BE66-3A2E4E70E788}">
      <formula1>0</formula1>
    </dataValidation>
    <dataValidation type="decimal" operator="greaterThanOrEqual" allowBlank="1" showInputMessage="1" showErrorMessage="1" sqref="C7:D7" xr:uid="{97D27AE6-3F77-42A1-B85A-8AA2934C2E15}">
      <formula1>0</formula1>
    </dataValidation>
    <dataValidation allowBlank="1" showInputMessage="1" showErrorMessage="1" promptTitle="Name" prompt="Enter You Name" sqref="B2" xr:uid="{6EB052DD-7356-47DC-B9EB-76C5E19C73DD}"/>
    <dataValidation type="decimal" operator="greaterThanOrEqual" allowBlank="1" showInputMessage="1" showErrorMessage="1" promptTitle="Federal Tax Deduction" prompt="Enter You Federal Income Tax Deduction" sqref="B7" xr:uid="{3607F007-CAC2-415A-B677-0045D33AB1C8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Base Pay" prompt="What is Your Base Pay" sqref="B19" xr:uid="{EE45C7DF-CCA2-42D4-907D-F723D03EAF56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Bonuses" prompt="Enter Any Bonuses You Recieve from the Military" sqref="B20" xr:uid="{E99E6F96-BD69-4C8D-B161-C94C77599781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AIP" prompt="Enter any Assignment Incentive Pay You Recieve" sqref="B21" xr:uid="{DA934A84-5B76-479C-B3C5-58C669F8726C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Other Income" prompt="Enter any other Taxible Income you Recieve" sqref="B22" xr:uid="{84C4D395-3D8C-4DD0-9A51-138EE80B1EFA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BAH" prompt="Enter Your Current Basic Allowance for Housing" sqref="B24" xr:uid="{B29CA0DE-D8B0-4861-9A3B-E978F2B001D1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BAS" prompt="Enter Your Basic Allowance for Subsistance" sqref="B25" xr:uid="{4005C8D4-1927-411B-8D26-9D26B169AF43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Other Income (Non-Taxible)" prompt="Enter any Other non-taxible Income you Recieve" sqref="B26" xr:uid="{72919586-1A88-4635-9802-7A6CAA8C3902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Post Seperation Salary" prompt="Enter You Post-Seperation Salary" sqref="B28" xr:uid="{BC78F30E-4653-420F-A489-698406034559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Post-Seperation Bonsues" prompt="Enter You Post-Seperation Bonuses" sqref="B29" xr:uid="{201A3B07-2503-4644-81F0-F3AC468D07E7}">
      <formula1>0</formula1>
    </dataValidation>
    <dataValidation type="whole" operator="greaterThanOrEqual" allowBlank="1" showInputMessage="1" showErrorMessage="1" errorTitle="Error" error="Enter the Number of Minor Dependants you have (for Disability Purposes)" promptTitle="Post-Seperation Misc Income" prompt="Enter Any Other Post-Seperation Income" sqref="B30" xr:uid="{3D661934-E80F-47C7-9B98-9635FC336B2E}">
      <formula1>0</formula1>
    </dataValidation>
    <dataValidation type="decimal" allowBlank="1" showInputMessage="1" showErrorMessage="1" errorTitle="Invalid Value" error="This number must be between 0 and 100%" promptTitle="401K Contribution" prompt="Enter What % of Your Salary You Will Contribute to Your 401K" sqref="B32" xr:uid="{780F6D6E-9220-4D60-93BD-C3C7D87C8A95}">
      <formula1>0</formula1>
      <formula2>1</formula2>
    </dataValidation>
    <dataValidation allowBlank="1" showInputMessage="1" showErrorMessage="1" promptTitle="Medical/Dental Insurance" prompt="Enter the Yearly Amount of Your Medica/Dental Insurance (Pre-Tax Contributions Only)" sqref="B33" xr:uid="{3D3AE151-5A6D-4558-AAF2-78716CF87427}"/>
    <dataValidation allowBlank="1" showInputMessage="1" showErrorMessage="1" promptTitle="Transportation Fund" prompt="Enter the Yearly Amount of Your Transportation Fund (Pre-Tax Contributions Only)" sqref="B34" xr:uid="{2393A582-B6DF-44FC-B3E1-6C01E2E2E957}"/>
    <dataValidation allowBlank="1" showInputMessage="1" showErrorMessage="1" promptTitle="Child Care Fund" prompt="Enter the Yearly Amount of Your Child Care Fund (Pre-Tax Contributions Only)" sqref="B35" xr:uid="{4F9A70F3-9B5E-4C11-9565-83790B8B08F3}"/>
  </dataValidations>
  <pageMargins left="0.5" right="0.5" top="0.5" bottom="0.5" header="0.3" footer="0.3"/>
  <pageSetup orientation="landscape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errorTitle="Error" error="Select your family status (for Disability Purposes)" promptTitle="Family Status" prompt="Select your family status (for Disability Purposes)" xr:uid="{1F358CF3-A3E7-4779-A5E8-D0E96BA06BE0}">
          <x14:formula1>
            <xm:f>'Disability Payment'!$A$3:$A$7</xm:f>
          </x14:formula1>
          <xm:sqref>B16:D16</xm:sqref>
        </x14:dataValidation>
        <x14:dataValidation type="list" allowBlank="1" showInputMessage="1" showErrorMessage="1" errorTitle="Error" error="Enter your Rank on your Seperation Date" promptTitle="Rank" prompt="Enter your Rank on your Seperation Date" xr:uid="{494D6BA0-3933-45CB-B823-516908D72D11}">
          <x14:formula1>
            <xm:f>'2019 Pay Chart'!$A$2:$A$25</xm:f>
          </x14:formula1>
          <xm:sqref>B3:D3</xm:sqref>
        </x14:dataValidation>
        <x14:dataValidation type="list" allowBlank="1" showInputMessage="1" showErrorMessage="1" promptTitle="Disability" prompt="Will you collect VA disability?" xr:uid="{A035F1C1-40EF-4041-B767-66197CAC7DED}">
          <x14:formula1>
            <xm:f>'Retirement Pay Calculations'!$C$2:$D$2</xm:f>
          </x14:formula1>
          <xm:sqref>B14 C13:D14</xm:sqref>
        </x14:dataValidation>
        <x14:dataValidation type="list" allowBlank="1" showInputMessage="1" showErrorMessage="1" promptTitle="Seperation Type" prompt="Are you Retiring or just Seperating" xr:uid="{0FF3457B-629A-4CBB-AF34-D98329C3A2CD}">
          <x14:formula1>
            <xm:f>'Retirement Pay Calculations'!$C$2:$D$2</xm:f>
          </x14:formula1>
          <xm:sqref>B10:D10</xm:sqref>
        </x14:dataValidation>
        <x14:dataValidation type="list" allowBlank="1" showInputMessage="1" showErrorMessage="1" errorTitle="Error" error="Select your disability rating." promptTitle="Disability Rating" prompt="What is your Disability Rating?" xr:uid="{B2F08AB9-9B6A-48D3-8BB9-EA5BD0164E1B}">
          <x14:formula1>
            <xm:f>'Disability Payment'!$B$2:$L$2</xm:f>
          </x14:formula1>
          <xm:sqref>B15:D15</xm:sqref>
        </x14:dataValidation>
        <x14:dataValidation type="list" operator="greaterThanOrEqual" allowBlank="1" showInputMessage="1" showErrorMessage="1" errorTitle="Invalid Date" error="Please Enter a Valid Date" promptTitle="Seperation Date" prompt="Please Enter the Last Day You Will Be in the Military" xr:uid="{37961ADA-4441-4D80-8FCE-7DF2B8A9F57F}">
          <x14:formula1>
            <xm:f>'Tax Brackets'!$B$1:$D$1</xm:f>
          </x14:formula1>
          <xm:sqref>B6:D6</xm:sqref>
        </x14:dataValidation>
        <x14:dataValidation type="list" allowBlank="1" showInputMessage="1" showErrorMessage="1" promptTitle="SBP" prompt="Will You Take Advantage of the Survivor Benifits Plan?" xr:uid="{4953E2B6-6DF0-410F-B4D3-947481BED28E}">
          <x14:formula1>
            <xm:f>'Retirement Pay Calculations'!$C$2:$D$2</xm:f>
          </x14:formula1>
          <xm:sqref>B13</xm:sqref>
        </x14:dataValidation>
        <x14:dataValidation type="list" allowBlank="1" showInputMessage="1" showErrorMessage="1" promptTitle="Disability Taxed" prompt="Does Your Post-Seperation State Tax Military Retirement?" xr:uid="{620E458D-F011-4359-9B6F-A11F9C605A15}">
          <x14:formula1>
            <xm:f>'Retirement Pay Calculations'!$C$2:$D$2</xm:f>
          </x14:formula1>
          <xm:sqref>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53066-DE48-4D14-8D44-B95D19C214A7}">
  <sheetPr codeName="Sheet3"/>
  <dimension ref="A1:R43"/>
  <sheetViews>
    <sheetView workbookViewId="0">
      <pane ySplit="4" topLeftCell="A5" activePane="bottomLeft" state="frozen"/>
      <selection pane="bottomLeft" activeCell="A41" sqref="A41"/>
    </sheetView>
  </sheetViews>
  <sheetFormatPr defaultRowHeight="15" x14ac:dyDescent="0.25"/>
  <cols>
    <col min="1" max="1" width="7.42578125" bestFit="1" customWidth="1"/>
    <col min="2" max="2" width="7.42578125" customWidth="1"/>
    <col min="3" max="3" width="13.7109375" bestFit="1" customWidth="1"/>
    <col min="4" max="4" width="13.7109375" customWidth="1"/>
    <col min="5" max="5" width="27" bestFit="1" customWidth="1"/>
    <col min="6" max="6" width="27" customWidth="1"/>
    <col min="7" max="7" width="20.5703125" customWidth="1"/>
    <col min="8" max="8" width="11.5703125" bestFit="1" customWidth="1"/>
    <col min="9" max="9" width="12.7109375" bestFit="1" customWidth="1"/>
    <col min="10" max="11" width="12" bestFit="1" customWidth="1"/>
    <col min="12" max="12" width="21.85546875" bestFit="1" customWidth="1"/>
    <col min="13" max="13" width="21.140625" bestFit="1" customWidth="1"/>
    <col min="14" max="14" width="18.42578125" bestFit="1" customWidth="1"/>
    <col min="15" max="15" width="18.42578125" customWidth="1"/>
    <col min="16" max="16" width="13.7109375" bestFit="1" customWidth="1"/>
    <col min="17" max="17" width="10.5703125" bestFit="1" customWidth="1"/>
    <col min="18" max="18" width="11.5703125" bestFit="1" customWidth="1"/>
  </cols>
  <sheetData>
    <row r="1" spans="1:18" x14ac:dyDescent="0.25">
      <c r="A1" s="79" t="s">
        <v>86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</row>
    <row r="2" spans="1:18" x14ac:dyDescent="0.25">
      <c r="C2" t="s">
        <v>114</v>
      </c>
      <c r="D2" t="s">
        <v>115</v>
      </c>
      <c r="M2" t="s">
        <v>8</v>
      </c>
      <c r="N2" t="s">
        <v>9</v>
      </c>
      <c r="P2" t="s">
        <v>10</v>
      </c>
    </row>
    <row r="3" spans="1:18" x14ac:dyDescent="0.25">
      <c r="M3">
        <f>'Retirment Pay Summary'!B6</f>
        <v>80</v>
      </c>
      <c r="N3" t="str">
        <f>'Retirment Pay Summary'!B4</f>
        <v>Married with Child</v>
      </c>
      <c r="P3">
        <f>'Retirment Pay Summary'!B5</f>
        <v>2</v>
      </c>
      <c r="Q3" s="28"/>
    </row>
    <row r="4" spans="1:18" x14ac:dyDescent="0.25">
      <c r="A4" t="s">
        <v>0</v>
      </c>
      <c r="B4" t="s">
        <v>58</v>
      </c>
      <c r="C4" t="s">
        <v>59</v>
      </c>
      <c r="D4" t="s">
        <v>61</v>
      </c>
      <c r="E4" t="s">
        <v>62</v>
      </c>
      <c r="F4" t="s">
        <v>64</v>
      </c>
      <c r="G4" t="s">
        <v>63</v>
      </c>
      <c r="H4" t="s">
        <v>1</v>
      </c>
      <c r="I4" t="s">
        <v>17</v>
      </c>
      <c r="J4" t="s">
        <v>2</v>
      </c>
      <c r="K4" t="s">
        <v>3</v>
      </c>
      <c r="L4" t="s">
        <v>12</v>
      </c>
      <c r="M4" t="s">
        <v>11</v>
      </c>
      <c r="O4" t="s">
        <v>23</v>
      </c>
    </row>
    <row r="5" spans="1:18" x14ac:dyDescent="0.25">
      <c r="A5" s="29">
        <f>EDATE(A$41,36)</f>
        <v>44166</v>
      </c>
      <c r="B5">
        <f>YEAR(A5)</f>
        <v>2020</v>
      </c>
      <c r="C5" s="31">
        <f>EVEN((ROUNDDOWN((DATEDIF('Retirment Pay Summary'!$B$2,'Retirement Pay Calculations'!A5,"M")/12),0))-1)</f>
        <v>20</v>
      </c>
      <c r="D5" s="31" t="str">
        <f>IF(A5&gt;='Retirment Pay Summary'!$B$9, 'Retirment Pay Summary'!$B$8,(INDEX('2019 Pay Chart'!$A$2:$A$25,(MATCH('Retirment Pay Summary'!$B$8,'2019 Pay Chart'!$A$2:$A$25,)+1))))</f>
        <v>W-4</v>
      </c>
      <c r="E5" s="31" t="str">
        <f>"'" &amp;B5&amp;" Pay Chart'!$A$1:$W$25"</f>
        <v>'2020 Pay Chart'!$A$1:$W$25</v>
      </c>
      <c r="F5" s="31" t="str">
        <f>"'" &amp;B5&amp;" Pay Chart'!$A$1:$W$1"</f>
        <v>'2020 Pay Chart'!$A$1:$W$1</v>
      </c>
      <c r="G5" s="31">
        <f ca="1">MATCH(C5,INDIRECT(F5),0)</f>
        <v>13</v>
      </c>
      <c r="H5" s="1">
        <f t="shared" ref="H5:H10" ca="1" si="0">VLOOKUP(D5,INDIRECT(E5),G5,FALSE)</f>
        <v>7309.2</v>
      </c>
      <c r="I5" s="31">
        <f>DATEDIF('Retirment Pay Summary'!B2,'Retirment Pay Summary'!B3,"M")-(12*20)</f>
        <v>12</v>
      </c>
      <c r="J5" s="32">
        <f>IF(I5=0,0.5,0.5+((0.025/12)*I5))</f>
        <v>0.52500000000000002</v>
      </c>
      <c r="K5" s="22">
        <f ca="1">IF(Information!B10="Yes",AVERAGE(H5:H41),0)</f>
        <v>6725.5864864864834</v>
      </c>
      <c r="L5" s="1">
        <f ca="1">K5*J5</f>
        <v>3530.9329054054037</v>
      </c>
      <c r="M5" s="1">
        <f>VLOOKUP(N3,'Disability Payment'!A3:L7,MATCH(M$3,'Disability Payment'!A2:L2),TRUE)+IF(P$3&gt;=2,VLOOKUP("Additional Child",'Disability Payment'!A7:L7,MATCH(M$3,'Disability Payment'!A2:L2)),0)*(P$3-1)</f>
        <v>2365.0100000000002</v>
      </c>
      <c r="N5" s="1"/>
      <c r="O5" s="1">
        <f ca="1">IF('Retirment Pay Summary'!B10="Yes",IF(M$3&gt;=50,0.065*(L5),0.065*(L5-M5)),0)</f>
        <v>229.51063885135125</v>
      </c>
      <c r="P5" s="1"/>
      <c r="Q5" s="1"/>
      <c r="R5" s="1"/>
    </row>
    <row r="6" spans="1:18" x14ac:dyDescent="0.25">
      <c r="A6" s="29">
        <f>EDATE(A$41,35)</f>
        <v>44136</v>
      </c>
      <c r="B6">
        <f t="shared" ref="B6:B41" si="1">YEAR(A6)</f>
        <v>2020</v>
      </c>
      <c r="C6" s="31">
        <f>EVEN((ROUNDDOWN((DATEDIF('Retirment Pay Summary'!$B$2,'Retirement Pay Calculations'!A6,"M")/12),0))-1)</f>
        <v>20</v>
      </c>
      <c r="D6" s="31" t="str">
        <f>IF(A6&gt;='Retirment Pay Summary'!$B$9, 'Retirment Pay Summary'!$B$8,(INDEX('2019 Pay Chart'!$A$2:$A$25,(MATCH('Retirment Pay Summary'!$B$8,'2019 Pay Chart'!$A$2:$A$25,)+1))))</f>
        <v>W-4</v>
      </c>
      <c r="E6" s="31" t="str">
        <f t="shared" ref="E6:E41" si="2">"'" &amp;B6&amp;" Pay Chart'!$A$1:$W$25"</f>
        <v>'2020 Pay Chart'!$A$1:$W$25</v>
      </c>
      <c r="F6" s="31" t="str">
        <f t="shared" ref="F6:F41" si="3">"'" &amp;B6&amp;" Pay Chart'!$A$1:$W$1"</f>
        <v>'2020 Pay Chart'!$A$1:$W$1</v>
      </c>
      <c r="G6" s="31">
        <f t="shared" ref="G6:G41" ca="1" si="4">MATCH(C6,INDIRECT(F6),0)</f>
        <v>13</v>
      </c>
      <c r="H6" s="1">
        <f t="shared" ca="1" si="0"/>
        <v>7309.2</v>
      </c>
    </row>
    <row r="7" spans="1:18" x14ac:dyDescent="0.25">
      <c r="A7" s="29">
        <f>EDATE(A$41,34)</f>
        <v>44105</v>
      </c>
      <c r="B7">
        <f t="shared" si="1"/>
        <v>2020</v>
      </c>
      <c r="C7" s="31">
        <f>EVEN((ROUNDDOWN((DATEDIF('Retirment Pay Summary'!$B$2,'Retirement Pay Calculations'!A7,"M")/12),0))-1)</f>
        <v>20</v>
      </c>
      <c r="D7" s="31" t="str">
        <f>IF(A7&gt;='Retirment Pay Summary'!$B$9, 'Retirment Pay Summary'!$B$8,(INDEX('2019 Pay Chart'!$A$2:$A$25,(MATCH('Retirment Pay Summary'!$B$8,'2019 Pay Chart'!$A$2:$A$25,)+1))))</f>
        <v>W-4</v>
      </c>
      <c r="E7" s="31" t="str">
        <f t="shared" si="2"/>
        <v>'2020 Pay Chart'!$A$1:$W$25</v>
      </c>
      <c r="F7" s="31" t="str">
        <f t="shared" si="3"/>
        <v>'2020 Pay Chart'!$A$1:$W$1</v>
      </c>
      <c r="G7" s="31">
        <f t="shared" ca="1" si="4"/>
        <v>13</v>
      </c>
      <c r="H7" s="1">
        <f t="shared" ca="1" si="0"/>
        <v>7309.2</v>
      </c>
    </row>
    <row r="8" spans="1:18" x14ac:dyDescent="0.25">
      <c r="A8" s="29">
        <f>EDATE(A$41,33)</f>
        <v>44075</v>
      </c>
      <c r="B8">
        <f t="shared" si="1"/>
        <v>2020</v>
      </c>
      <c r="C8" s="31">
        <f>EVEN((ROUNDDOWN((DATEDIF('Retirment Pay Summary'!$B$2,'Retirement Pay Calculations'!A8,"M")/12),0))-1)</f>
        <v>20</v>
      </c>
      <c r="D8" s="31" t="str">
        <f>IF(A8&gt;='Retirment Pay Summary'!$B$9, 'Retirment Pay Summary'!$B$8,(INDEX('2019 Pay Chart'!$A$2:$A$25,(MATCH('Retirment Pay Summary'!$B$8,'2019 Pay Chart'!$A$2:$A$25,)+1))))</f>
        <v>W-4</v>
      </c>
      <c r="E8" s="31" t="str">
        <f t="shared" si="2"/>
        <v>'2020 Pay Chart'!$A$1:$W$25</v>
      </c>
      <c r="F8" s="31" t="str">
        <f t="shared" si="3"/>
        <v>'2020 Pay Chart'!$A$1:$W$1</v>
      </c>
      <c r="G8" s="31">
        <f t="shared" ca="1" si="4"/>
        <v>13</v>
      </c>
      <c r="H8" s="1">
        <f t="shared" ca="1" si="0"/>
        <v>7309.2</v>
      </c>
    </row>
    <row r="9" spans="1:18" x14ac:dyDescent="0.25">
      <c r="A9" s="29">
        <f>EDATE(A$41,32)</f>
        <v>44044</v>
      </c>
      <c r="B9">
        <f t="shared" si="1"/>
        <v>2020</v>
      </c>
      <c r="C9" s="31">
        <f>EVEN((ROUNDDOWN((DATEDIF('Retirment Pay Summary'!$B$2,'Retirement Pay Calculations'!A9,"M")/12),0))-1)</f>
        <v>20</v>
      </c>
      <c r="D9" s="31" t="str">
        <f>IF(A9&gt;='Retirment Pay Summary'!$B$9, 'Retirment Pay Summary'!$B$8,(INDEX('2019 Pay Chart'!$A$2:$A$25,(MATCH('Retirment Pay Summary'!$B$8,'2019 Pay Chart'!$A$2:$A$25,)+1))))</f>
        <v>W-4</v>
      </c>
      <c r="E9" s="31" t="str">
        <f t="shared" si="2"/>
        <v>'2020 Pay Chart'!$A$1:$W$25</v>
      </c>
      <c r="F9" s="31" t="str">
        <f t="shared" si="3"/>
        <v>'2020 Pay Chart'!$A$1:$W$1</v>
      </c>
      <c r="G9" s="31">
        <f t="shared" ca="1" si="4"/>
        <v>13</v>
      </c>
      <c r="H9" s="1">
        <f t="shared" ca="1" si="0"/>
        <v>7309.2</v>
      </c>
    </row>
    <row r="10" spans="1:18" x14ac:dyDescent="0.25">
      <c r="A10" s="29">
        <f>EDATE(A$41,31)</f>
        <v>44013</v>
      </c>
      <c r="B10">
        <f t="shared" si="1"/>
        <v>2020</v>
      </c>
      <c r="C10" s="31">
        <f>EVEN((ROUNDDOWN((DATEDIF('Retirment Pay Summary'!$B$2,'Retirement Pay Calculations'!A10,"M")/12),0))-1)</f>
        <v>20</v>
      </c>
      <c r="D10" s="31" t="str">
        <f>IF(A10&gt;='Retirment Pay Summary'!$B$9, 'Retirment Pay Summary'!$B$8,(INDEX('2019 Pay Chart'!$A$2:$A$25,(MATCH('Retirment Pay Summary'!$B$8,'2019 Pay Chart'!$A$2:$A$25,)+1))))</f>
        <v>W-4</v>
      </c>
      <c r="E10" s="31" t="str">
        <f t="shared" si="2"/>
        <v>'2020 Pay Chart'!$A$1:$W$25</v>
      </c>
      <c r="F10" s="31" t="str">
        <f t="shared" si="3"/>
        <v>'2020 Pay Chart'!$A$1:$W$1</v>
      </c>
      <c r="G10" s="31">
        <f t="shared" ca="1" si="4"/>
        <v>13</v>
      </c>
      <c r="H10" s="1">
        <f t="shared" ca="1" si="0"/>
        <v>7309.2</v>
      </c>
    </row>
    <row r="11" spans="1:18" x14ac:dyDescent="0.25">
      <c r="A11" s="29">
        <f>EDATE(A$41,30)</f>
        <v>43983</v>
      </c>
      <c r="B11">
        <f t="shared" si="1"/>
        <v>2020</v>
      </c>
      <c r="C11" s="31">
        <f>EVEN((ROUNDDOWN((DATEDIF('Retirment Pay Summary'!$B$2,'Retirement Pay Calculations'!A11,"M")/12),0))-1)</f>
        <v>20</v>
      </c>
      <c r="D11" s="31" t="str">
        <f>IF(A11&gt;='Retirment Pay Summary'!$B$9, 'Retirment Pay Summary'!$B$8,(INDEX('2019 Pay Chart'!$A$2:$A$25,(MATCH('Retirment Pay Summary'!$B$8,'2019 Pay Chart'!$A$2:$A$25,)+1))))</f>
        <v>W-4</v>
      </c>
      <c r="E11" s="31" t="str">
        <f t="shared" si="2"/>
        <v>'2020 Pay Chart'!$A$1:$W$25</v>
      </c>
      <c r="F11" s="31" t="str">
        <f t="shared" si="3"/>
        <v>'2020 Pay Chart'!$A$1:$W$1</v>
      </c>
      <c r="G11" s="31">
        <f ca="1">MATCH(C11,INDIRECT(F11),0)</f>
        <v>13</v>
      </c>
      <c r="H11" s="1">
        <f ca="1">VLOOKUP(D11,INDIRECT(E11),G11,FALSE)</f>
        <v>7309.2</v>
      </c>
    </row>
    <row r="12" spans="1:18" x14ac:dyDescent="0.25">
      <c r="A12" s="29">
        <f>EDATE(A$41,29)</f>
        <v>43952</v>
      </c>
      <c r="B12">
        <f t="shared" si="1"/>
        <v>2020</v>
      </c>
      <c r="C12" s="31">
        <f>EVEN((ROUNDDOWN((DATEDIF('Retirment Pay Summary'!$B$2,'Retirement Pay Calculations'!A12,"M")/12),0))-1)</f>
        <v>20</v>
      </c>
      <c r="D12" s="31" t="str">
        <f>IF(A12&gt;='Retirment Pay Summary'!$B$9, 'Retirment Pay Summary'!$B$8,(INDEX('2019 Pay Chart'!$A$2:$A$25,(MATCH('Retirment Pay Summary'!$B$8,'2019 Pay Chart'!$A$2:$A$25,)+1))))</f>
        <v>W-4</v>
      </c>
      <c r="E12" s="31" t="str">
        <f t="shared" si="2"/>
        <v>'2020 Pay Chart'!$A$1:$W$25</v>
      </c>
      <c r="F12" s="31" t="str">
        <f t="shared" si="3"/>
        <v>'2020 Pay Chart'!$A$1:$W$1</v>
      </c>
      <c r="G12" s="31">
        <f t="shared" ca="1" si="4"/>
        <v>13</v>
      </c>
      <c r="H12" s="1">
        <f t="shared" ref="H12:H41" ca="1" si="5">VLOOKUP(D12,INDIRECT(E12),G12,FALSE)</f>
        <v>7309.2</v>
      </c>
    </row>
    <row r="13" spans="1:18" x14ac:dyDescent="0.25">
      <c r="A13" s="29">
        <f>EDATE(A$41,28)</f>
        <v>43922</v>
      </c>
      <c r="B13">
        <f t="shared" si="1"/>
        <v>2020</v>
      </c>
      <c r="C13" s="31">
        <f>EVEN((ROUNDDOWN((DATEDIF('Retirment Pay Summary'!$B$2,'Retirement Pay Calculations'!A13,"M")/12),0))-1)</f>
        <v>20</v>
      </c>
      <c r="D13" s="31" t="str">
        <f>IF(A13&gt;='Retirment Pay Summary'!$B$9, 'Retirment Pay Summary'!$B$8,(INDEX('2019 Pay Chart'!$A$2:$A$25,(MATCH('Retirment Pay Summary'!$B$8,'2019 Pay Chart'!$A$2:$A$25,)+1))))</f>
        <v>W-4</v>
      </c>
      <c r="E13" s="31" t="str">
        <f t="shared" si="2"/>
        <v>'2020 Pay Chart'!$A$1:$W$25</v>
      </c>
      <c r="F13" s="31" t="str">
        <f t="shared" si="3"/>
        <v>'2020 Pay Chart'!$A$1:$W$1</v>
      </c>
      <c r="G13" s="31">
        <f t="shared" ca="1" si="4"/>
        <v>13</v>
      </c>
      <c r="H13" s="1">
        <f t="shared" ca="1" si="5"/>
        <v>7309.2</v>
      </c>
    </row>
    <row r="14" spans="1:18" x14ac:dyDescent="0.25">
      <c r="A14" s="29">
        <f>EDATE(A$41,27)</f>
        <v>43891</v>
      </c>
      <c r="B14">
        <f t="shared" si="1"/>
        <v>2020</v>
      </c>
      <c r="C14" s="31">
        <f>EVEN((ROUNDDOWN((DATEDIF('Retirment Pay Summary'!$B$2,'Retirement Pay Calculations'!A14,"M")/12),0))-1)</f>
        <v>20</v>
      </c>
      <c r="D14" s="31" t="str">
        <f>IF(A14&gt;='Retirment Pay Summary'!$B$9, 'Retirment Pay Summary'!$B$8,(INDEX('2019 Pay Chart'!$A$2:$A$25,(MATCH('Retirment Pay Summary'!$B$8,'2019 Pay Chart'!$A$2:$A$25,)+1))))</f>
        <v>W-4</v>
      </c>
      <c r="E14" s="31" t="str">
        <f t="shared" si="2"/>
        <v>'2020 Pay Chart'!$A$1:$W$25</v>
      </c>
      <c r="F14" s="31" t="str">
        <f t="shared" si="3"/>
        <v>'2020 Pay Chart'!$A$1:$W$1</v>
      </c>
      <c r="G14" s="31">
        <f t="shared" ca="1" si="4"/>
        <v>13</v>
      </c>
      <c r="H14" s="1">
        <f t="shared" ca="1" si="5"/>
        <v>7309.2</v>
      </c>
    </row>
    <row r="15" spans="1:18" x14ac:dyDescent="0.25">
      <c r="A15" s="29">
        <f>EDATE(A$41,26)</f>
        <v>43862</v>
      </c>
      <c r="B15">
        <f t="shared" si="1"/>
        <v>2020</v>
      </c>
      <c r="C15" s="31">
        <f>EVEN((ROUNDDOWN((DATEDIF('Retirment Pay Summary'!$B$2,'Retirement Pay Calculations'!A15,"M")/12),0))-1)</f>
        <v>20</v>
      </c>
      <c r="D15" s="31" t="str">
        <f>IF(A15&gt;='Retirment Pay Summary'!$B$9, 'Retirment Pay Summary'!$B$8,(INDEX('2019 Pay Chart'!$A$2:$A$25,(MATCH('Retirment Pay Summary'!$B$8,'2019 Pay Chart'!$A$2:$A$25,)+1))))</f>
        <v>W-4</v>
      </c>
      <c r="E15" s="31" t="str">
        <f t="shared" si="2"/>
        <v>'2020 Pay Chart'!$A$1:$W$25</v>
      </c>
      <c r="F15" s="31" t="str">
        <f t="shared" si="3"/>
        <v>'2020 Pay Chart'!$A$1:$W$1</v>
      </c>
      <c r="G15" s="31">
        <f t="shared" ca="1" si="4"/>
        <v>13</v>
      </c>
      <c r="H15" s="1">
        <f t="shared" ca="1" si="5"/>
        <v>7309.2</v>
      </c>
    </row>
    <row r="16" spans="1:18" x14ac:dyDescent="0.25">
      <c r="A16" s="29">
        <f>EDATE(A$41,25)</f>
        <v>43831</v>
      </c>
      <c r="B16">
        <f t="shared" si="1"/>
        <v>2020</v>
      </c>
      <c r="C16" s="31">
        <f>EVEN((ROUNDDOWN((DATEDIF('Retirment Pay Summary'!$B$2,'Retirement Pay Calculations'!A16,"M")/12),0))-1)</f>
        <v>20</v>
      </c>
      <c r="D16" s="31" t="str">
        <f>IF(A16&gt;='Retirment Pay Summary'!$B$9, 'Retirment Pay Summary'!$B$8,(INDEX('2019 Pay Chart'!$A$2:$A$25,(MATCH('Retirment Pay Summary'!$B$8,'2019 Pay Chart'!$A$2:$A$25,)+1))))</f>
        <v>W-4</v>
      </c>
      <c r="E16" s="31" t="str">
        <f t="shared" si="2"/>
        <v>'2020 Pay Chart'!$A$1:$W$25</v>
      </c>
      <c r="F16" s="31" t="str">
        <f t="shared" si="3"/>
        <v>'2020 Pay Chart'!$A$1:$W$1</v>
      </c>
      <c r="G16" s="31">
        <f t="shared" ca="1" si="4"/>
        <v>13</v>
      </c>
      <c r="H16" s="1">
        <f t="shared" ca="1" si="5"/>
        <v>7309.2</v>
      </c>
    </row>
    <row r="17" spans="1:8" x14ac:dyDescent="0.25">
      <c r="A17" s="29">
        <f>EDATE(A$41,24)</f>
        <v>43800</v>
      </c>
      <c r="B17">
        <f t="shared" si="1"/>
        <v>2019</v>
      </c>
      <c r="C17" s="31">
        <f>EVEN((ROUNDDOWN((DATEDIF('Retirment Pay Summary'!$B$2,'Retirement Pay Calculations'!A17,"M")/12),0))-1)</f>
        <v>18</v>
      </c>
      <c r="D17" s="31" t="str">
        <f>IF(A17&gt;='Retirment Pay Summary'!$B$9, 'Retirment Pay Summary'!$B$8,(INDEX('2019 Pay Chart'!$A$2:$A$25,(MATCH('Retirment Pay Summary'!$B$8,'2019 Pay Chart'!$A$2:$A$25,)+1))))</f>
        <v>W-4</v>
      </c>
      <c r="E17" s="31" t="str">
        <f t="shared" si="2"/>
        <v>'2019 Pay Chart'!$A$1:$W$25</v>
      </c>
      <c r="F17" s="31" t="str">
        <f t="shared" si="3"/>
        <v>'2019 Pay Chart'!$A$1:$W$1</v>
      </c>
      <c r="G17" s="31">
        <f t="shared" ca="1" si="4"/>
        <v>12</v>
      </c>
      <c r="H17" s="1">
        <f t="shared" ca="1" si="5"/>
        <v>6858.6</v>
      </c>
    </row>
    <row r="18" spans="1:8" x14ac:dyDescent="0.25">
      <c r="A18" s="29">
        <f>EDATE(A$41,23)</f>
        <v>43770</v>
      </c>
      <c r="B18">
        <f t="shared" si="1"/>
        <v>2019</v>
      </c>
      <c r="C18" s="31">
        <f>EVEN((ROUNDDOWN((DATEDIF('Retirment Pay Summary'!$B$2,'Retirement Pay Calculations'!A18,"M")/12),0))-1)</f>
        <v>18</v>
      </c>
      <c r="D18" s="31" t="str">
        <f>IF(A18&gt;='Retirment Pay Summary'!$B$9, 'Retirment Pay Summary'!$B$8,(INDEX('2019 Pay Chart'!$A$2:$A$25,(MATCH('Retirment Pay Summary'!$B$8,'2019 Pay Chart'!$A$2:$A$25,)+1))))</f>
        <v>W-4</v>
      </c>
      <c r="E18" s="31" t="str">
        <f t="shared" si="2"/>
        <v>'2019 Pay Chart'!$A$1:$W$25</v>
      </c>
      <c r="F18" s="31" t="str">
        <f t="shared" si="3"/>
        <v>'2019 Pay Chart'!$A$1:$W$1</v>
      </c>
      <c r="G18" s="31">
        <f t="shared" ca="1" si="4"/>
        <v>12</v>
      </c>
      <c r="H18" s="1">
        <f t="shared" ca="1" si="5"/>
        <v>6858.6</v>
      </c>
    </row>
    <row r="19" spans="1:8" x14ac:dyDescent="0.25">
      <c r="A19" s="29">
        <f>EDATE(A$41,22)</f>
        <v>43739</v>
      </c>
      <c r="B19">
        <f t="shared" si="1"/>
        <v>2019</v>
      </c>
      <c r="C19" s="31">
        <f>EVEN((ROUNDDOWN((DATEDIF('Retirment Pay Summary'!$B$2,'Retirement Pay Calculations'!A19,"M")/12),0))-1)</f>
        <v>18</v>
      </c>
      <c r="D19" s="31" t="str">
        <f>IF(A19&gt;='Retirment Pay Summary'!$B$9, 'Retirment Pay Summary'!$B$8,(INDEX('2019 Pay Chart'!$A$2:$A$25,(MATCH('Retirment Pay Summary'!$B$8,'2019 Pay Chart'!$A$2:$A$25,)+1))))</f>
        <v>W-4</v>
      </c>
      <c r="E19" s="31" t="str">
        <f t="shared" si="2"/>
        <v>'2019 Pay Chart'!$A$1:$W$25</v>
      </c>
      <c r="F19" s="31" t="str">
        <f t="shared" si="3"/>
        <v>'2019 Pay Chart'!$A$1:$W$1</v>
      </c>
      <c r="G19" s="31">
        <f t="shared" ca="1" si="4"/>
        <v>12</v>
      </c>
      <c r="H19" s="1">
        <f t="shared" ca="1" si="5"/>
        <v>6858.6</v>
      </c>
    </row>
    <row r="20" spans="1:8" x14ac:dyDescent="0.25">
      <c r="A20" s="29">
        <f>EDATE(A$41,21)</f>
        <v>43709</v>
      </c>
      <c r="B20">
        <f t="shared" si="1"/>
        <v>2019</v>
      </c>
      <c r="C20" s="31">
        <f>EVEN((ROUNDDOWN((DATEDIF('Retirment Pay Summary'!$B$2,'Retirement Pay Calculations'!A20,"M")/12),0))-1)</f>
        <v>18</v>
      </c>
      <c r="D20" s="31" t="str">
        <f>IF(A20&gt;='Retirment Pay Summary'!$B$9, 'Retirment Pay Summary'!$B$8,(INDEX('2019 Pay Chart'!$A$2:$A$25,(MATCH('Retirment Pay Summary'!$B$8,'2019 Pay Chart'!$A$2:$A$25,)+1))))</f>
        <v>W-4</v>
      </c>
      <c r="E20" s="31" t="str">
        <f t="shared" si="2"/>
        <v>'2019 Pay Chart'!$A$1:$W$25</v>
      </c>
      <c r="F20" s="31" t="str">
        <f t="shared" si="3"/>
        <v>'2019 Pay Chart'!$A$1:$W$1</v>
      </c>
      <c r="G20" s="31">
        <f t="shared" ca="1" si="4"/>
        <v>12</v>
      </c>
      <c r="H20" s="1">
        <f t="shared" ca="1" si="5"/>
        <v>6858.6</v>
      </c>
    </row>
    <row r="21" spans="1:8" x14ac:dyDescent="0.25">
      <c r="A21" s="29">
        <f>EDATE(A$41,20)</f>
        <v>43678</v>
      </c>
      <c r="B21">
        <f t="shared" si="1"/>
        <v>2019</v>
      </c>
      <c r="C21" s="31">
        <f>EVEN((ROUNDDOWN((DATEDIF('Retirment Pay Summary'!$B$2,'Retirement Pay Calculations'!A21,"M")/12),0))-1)</f>
        <v>18</v>
      </c>
      <c r="D21" s="31" t="str">
        <f>IF(A21&gt;='Retirment Pay Summary'!$B$9, 'Retirment Pay Summary'!$B$8,(INDEX('2019 Pay Chart'!$A$2:$A$25,(MATCH('Retirment Pay Summary'!$B$8,'2019 Pay Chart'!$A$2:$A$25,)+1))))</f>
        <v>W-4</v>
      </c>
      <c r="E21" s="31" t="str">
        <f t="shared" si="2"/>
        <v>'2019 Pay Chart'!$A$1:$W$25</v>
      </c>
      <c r="F21" s="31" t="str">
        <f t="shared" si="3"/>
        <v>'2019 Pay Chart'!$A$1:$W$1</v>
      </c>
      <c r="G21" s="31">
        <f t="shared" ca="1" si="4"/>
        <v>12</v>
      </c>
      <c r="H21" s="1">
        <f t="shared" ca="1" si="5"/>
        <v>6858.6</v>
      </c>
    </row>
    <row r="22" spans="1:8" x14ac:dyDescent="0.25">
      <c r="A22" s="29">
        <f>EDATE(A$41,19)</f>
        <v>43647</v>
      </c>
      <c r="B22">
        <f t="shared" si="1"/>
        <v>2019</v>
      </c>
      <c r="C22" s="31">
        <f>EVEN((ROUNDDOWN((DATEDIF('Retirment Pay Summary'!$B$2,'Retirement Pay Calculations'!A22,"M")/12),0))-1)</f>
        <v>18</v>
      </c>
      <c r="D22" s="31" t="str">
        <f>IF(A22&gt;='Retirment Pay Summary'!$B$9, 'Retirment Pay Summary'!$B$8,(INDEX('2019 Pay Chart'!$A$2:$A$25,(MATCH('Retirment Pay Summary'!$B$8,'2019 Pay Chart'!$A$2:$A$25,)+1))))</f>
        <v>W-4</v>
      </c>
      <c r="E22" s="31" t="str">
        <f t="shared" si="2"/>
        <v>'2019 Pay Chart'!$A$1:$W$25</v>
      </c>
      <c r="F22" s="31" t="str">
        <f t="shared" si="3"/>
        <v>'2019 Pay Chart'!$A$1:$W$1</v>
      </c>
      <c r="G22" s="31">
        <f t="shared" ca="1" si="4"/>
        <v>12</v>
      </c>
      <c r="H22" s="1">
        <f t="shared" ca="1" si="5"/>
        <v>6858.6</v>
      </c>
    </row>
    <row r="23" spans="1:8" x14ac:dyDescent="0.25">
      <c r="A23" s="29">
        <f>EDATE(A$41,18)</f>
        <v>43617</v>
      </c>
      <c r="B23">
        <f t="shared" si="1"/>
        <v>2019</v>
      </c>
      <c r="C23" s="31">
        <f>EVEN((ROUNDDOWN((DATEDIF('Retirment Pay Summary'!$B$2,'Retirement Pay Calculations'!A23,"M")/12),0))-1)</f>
        <v>18</v>
      </c>
      <c r="D23" s="31" t="str">
        <f>IF(A23&gt;='Retirment Pay Summary'!$B$9, 'Retirment Pay Summary'!$B$8,(INDEX('2019 Pay Chart'!$A$2:$A$25,(MATCH('Retirment Pay Summary'!$B$8,'2019 Pay Chart'!$A$2:$A$25,)+1))))</f>
        <v>W-4</v>
      </c>
      <c r="E23" s="31" t="str">
        <f t="shared" si="2"/>
        <v>'2019 Pay Chart'!$A$1:$W$25</v>
      </c>
      <c r="F23" s="31" t="str">
        <f t="shared" si="3"/>
        <v>'2019 Pay Chart'!$A$1:$W$1</v>
      </c>
      <c r="G23" s="31">
        <f t="shared" ca="1" si="4"/>
        <v>12</v>
      </c>
      <c r="H23" s="1">
        <f t="shared" ca="1" si="5"/>
        <v>6858.6</v>
      </c>
    </row>
    <row r="24" spans="1:8" x14ac:dyDescent="0.25">
      <c r="A24" s="29">
        <f>EDATE(A$41,17)</f>
        <v>43586</v>
      </c>
      <c r="B24">
        <f t="shared" si="1"/>
        <v>2019</v>
      </c>
      <c r="C24" s="31">
        <f>EVEN((ROUNDDOWN((DATEDIF('Retirment Pay Summary'!$B$2,'Retirement Pay Calculations'!A24,"M")/12),0))-1)</f>
        <v>18</v>
      </c>
      <c r="D24" s="31" t="str">
        <f>IF(A24&gt;='Retirment Pay Summary'!$B$9, 'Retirment Pay Summary'!$B$8,(INDEX('2019 Pay Chart'!$A$2:$A$25,(MATCH('Retirment Pay Summary'!$B$8,'2019 Pay Chart'!$A$2:$A$25,)+1))))</f>
        <v>W-4</v>
      </c>
      <c r="E24" s="31" t="str">
        <f t="shared" si="2"/>
        <v>'2019 Pay Chart'!$A$1:$W$25</v>
      </c>
      <c r="F24" s="31" t="str">
        <f t="shared" si="3"/>
        <v>'2019 Pay Chart'!$A$1:$W$1</v>
      </c>
      <c r="G24" s="31">
        <f t="shared" ca="1" si="4"/>
        <v>12</v>
      </c>
      <c r="H24" s="1">
        <f t="shared" ca="1" si="5"/>
        <v>6858.6</v>
      </c>
    </row>
    <row r="25" spans="1:8" x14ac:dyDescent="0.25">
      <c r="A25" s="29">
        <f>EDATE(A$41,16)</f>
        <v>43556</v>
      </c>
      <c r="B25">
        <f t="shared" si="1"/>
        <v>2019</v>
      </c>
      <c r="C25" s="31">
        <f>EVEN((ROUNDDOWN((DATEDIF('Retirment Pay Summary'!$B$2,'Retirement Pay Calculations'!A25,"M")/12),0))-1)</f>
        <v>18</v>
      </c>
      <c r="D25" s="31" t="str">
        <f>IF(A25&gt;='Retirment Pay Summary'!$B$9, 'Retirment Pay Summary'!$B$8,(INDEX('2019 Pay Chart'!$A$2:$A$25,(MATCH('Retirment Pay Summary'!$B$8,'2019 Pay Chart'!$A$2:$A$25,)+1))))</f>
        <v>W-4</v>
      </c>
      <c r="E25" s="31" t="str">
        <f t="shared" si="2"/>
        <v>'2019 Pay Chart'!$A$1:$W$25</v>
      </c>
      <c r="F25" s="31" t="str">
        <f t="shared" si="3"/>
        <v>'2019 Pay Chart'!$A$1:$W$1</v>
      </c>
      <c r="G25" s="31">
        <f t="shared" ca="1" si="4"/>
        <v>12</v>
      </c>
      <c r="H25" s="1">
        <f t="shared" ca="1" si="5"/>
        <v>6858.6</v>
      </c>
    </row>
    <row r="26" spans="1:8" x14ac:dyDescent="0.25">
      <c r="A26" s="29">
        <f>EDATE(A$41,15)</f>
        <v>43525</v>
      </c>
      <c r="B26">
        <f t="shared" si="1"/>
        <v>2019</v>
      </c>
      <c r="C26" s="31">
        <f>EVEN((ROUNDDOWN((DATEDIF('Retirment Pay Summary'!$B$2,'Retirement Pay Calculations'!A26,"M")/12),0))-1)</f>
        <v>18</v>
      </c>
      <c r="D26" s="31" t="str">
        <f>IF(A26&gt;='Retirment Pay Summary'!$B$9, 'Retirment Pay Summary'!$B$8,(INDEX('2019 Pay Chart'!$A$2:$A$25,(MATCH('Retirment Pay Summary'!$B$8,'2019 Pay Chart'!$A$2:$A$25,)+1))))</f>
        <v>W-4</v>
      </c>
      <c r="E26" s="31" t="str">
        <f t="shared" si="2"/>
        <v>'2019 Pay Chart'!$A$1:$W$25</v>
      </c>
      <c r="F26" s="31" t="str">
        <f t="shared" si="3"/>
        <v>'2019 Pay Chart'!$A$1:$W$1</v>
      </c>
      <c r="G26" s="31">
        <f t="shared" ca="1" si="4"/>
        <v>12</v>
      </c>
      <c r="H26" s="1">
        <f t="shared" ca="1" si="5"/>
        <v>6858.6</v>
      </c>
    </row>
    <row r="27" spans="1:8" x14ac:dyDescent="0.25">
      <c r="A27" s="29">
        <f>EDATE(A$41,14)</f>
        <v>43497</v>
      </c>
      <c r="B27">
        <f t="shared" si="1"/>
        <v>2019</v>
      </c>
      <c r="C27" s="31">
        <f>EVEN((ROUNDDOWN((DATEDIF('Retirment Pay Summary'!$B$2,'Retirement Pay Calculations'!A27,"M")/12),0))-1)</f>
        <v>18</v>
      </c>
      <c r="D27" s="31" t="str">
        <f>IF(A27&gt;='Retirment Pay Summary'!$B$9, 'Retirment Pay Summary'!$B$8,(INDEX('2019 Pay Chart'!$A$2:$A$25,(MATCH('Retirment Pay Summary'!$B$8,'2019 Pay Chart'!$A$2:$A$25,)+1))))</f>
        <v>W-4</v>
      </c>
      <c r="E27" s="31" t="str">
        <f t="shared" si="2"/>
        <v>'2019 Pay Chart'!$A$1:$W$25</v>
      </c>
      <c r="F27" s="31" t="str">
        <f t="shared" si="3"/>
        <v>'2019 Pay Chart'!$A$1:$W$1</v>
      </c>
      <c r="G27" s="31">
        <f t="shared" ca="1" si="4"/>
        <v>12</v>
      </c>
      <c r="H27" s="1">
        <f t="shared" ca="1" si="5"/>
        <v>6858.6</v>
      </c>
    </row>
    <row r="28" spans="1:8" x14ac:dyDescent="0.25">
      <c r="A28" s="29">
        <f>EDATE(A$41,13)</f>
        <v>43466</v>
      </c>
      <c r="B28">
        <f t="shared" si="1"/>
        <v>2019</v>
      </c>
      <c r="C28" s="31">
        <f>EVEN((ROUNDDOWN((DATEDIF('Retirment Pay Summary'!$B$2,'Retirement Pay Calculations'!A28,"M")/12),0))-1)</f>
        <v>18</v>
      </c>
      <c r="D28" s="31" t="str">
        <f>IF(A28&gt;='Retirment Pay Summary'!$B$9, 'Retirment Pay Summary'!$B$8,(INDEX('2019 Pay Chart'!$A$2:$A$25,(MATCH('Retirment Pay Summary'!$B$8,'2019 Pay Chart'!$A$2:$A$25,)+1))))</f>
        <v>W-4</v>
      </c>
      <c r="E28" s="31" t="str">
        <f t="shared" si="2"/>
        <v>'2019 Pay Chart'!$A$1:$W$25</v>
      </c>
      <c r="F28" s="31" t="str">
        <f t="shared" si="3"/>
        <v>'2019 Pay Chart'!$A$1:$W$1</v>
      </c>
      <c r="G28" s="31">
        <f t="shared" ca="1" si="4"/>
        <v>12</v>
      </c>
      <c r="H28" s="1">
        <f t="shared" ca="1" si="5"/>
        <v>6858.6</v>
      </c>
    </row>
    <row r="29" spans="1:8" x14ac:dyDescent="0.25">
      <c r="A29" s="29">
        <f>EDATE(A$41,12)</f>
        <v>43435</v>
      </c>
      <c r="B29">
        <f t="shared" si="1"/>
        <v>2018</v>
      </c>
      <c r="C29" s="31">
        <f>EVEN((ROUNDDOWN((DATEDIF('Retirment Pay Summary'!$B$2,'Retirement Pay Calculations'!A29,"M")/12),0))-1)</f>
        <v>18</v>
      </c>
      <c r="D29" s="31" t="str">
        <f>IF(A29&gt;='Retirment Pay Summary'!$B$9, 'Retirment Pay Summary'!$B$8,(INDEX('2019 Pay Chart'!$A$2:$A$25,(MATCH('Retirment Pay Summary'!$B$8,'2019 Pay Chart'!$A$2:$A$25,)+1))))</f>
        <v>W-3</v>
      </c>
      <c r="E29" s="31" t="str">
        <f t="shared" si="2"/>
        <v>'2018 Pay Chart'!$A$1:$W$25</v>
      </c>
      <c r="F29" s="31" t="str">
        <f t="shared" si="3"/>
        <v>'2018 Pay Chart'!$A$1:$W$1</v>
      </c>
      <c r="G29" s="31">
        <f t="shared" ca="1" si="4"/>
        <v>12</v>
      </c>
      <c r="H29" s="1">
        <f t="shared" ca="1" si="5"/>
        <v>6102.3</v>
      </c>
    </row>
    <row r="30" spans="1:8" x14ac:dyDescent="0.25">
      <c r="A30" s="29">
        <f>EDATE(A$41,11)</f>
        <v>43405</v>
      </c>
      <c r="B30">
        <f t="shared" si="1"/>
        <v>2018</v>
      </c>
      <c r="C30" s="31">
        <f>EVEN((ROUNDDOWN((DATEDIF('Retirment Pay Summary'!$B$2,'Retirement Pay Calculations'!A30,"M")/12),0))-1)</f>
        <v>18</v>
      </c>
      <c r="D30" s="31" t="str">
        <f>IF(A30&gt;='Retirment Pay Summary'!$B$9, 'Retirment Pay Summary'!$B$8,(INDEX('2019 Pay Chart'!$A$2:$A$25,(MATCH('Retirment Pay Summary'!$B$8,'2019 Pay Chart'!$A$2:$A$25,)+1))))</f>
        <v>W-3</v>
      </c>
      <c r="E30" s="31" t="str">
        <f t="shared" si="2"/>
        <v>'2018 Pay Chart'!$A$1:$W$25</v>
      </c>
      <c r="F30" s="31" t="str">
        <f t="shared" si="3"/>
        <v>'2018 Pay Chart'!$A$1:$W$1</v>
      </c>
      <c r="G30" s="31">
        <f t="shared" ca="1" si="4"/>
        <v>12</v>
      </c>
      <c r="H30" s="1">
        <f t="shared" ca="1" si="5"/>
        <v>6102.3</v>
      </c>
    </row>
    <row r="31" spans="1:8" x14ac:dyDescent="0.25">
      <c r="A31" s="29">
        <f>EDATE(A$41,10)</f>
        <v>43374</v>
      </c>
      <c r="B31">
        <f t="shared" si="1"/>
        <v>2018</v>
      </c>
      <c r="C31" s="31">
        <f>EVEN((ROUNDDOWN((DATEDIF('Retirment Pay Summary'!$B$2,'Retirement Pay Calculations'!A31,"M")/12),0))-1)</f>
        <v>18</v>
      </c>
      <c r="D31" s="31" t="str">
        <f>IF(A31&gt;='Retirment Pay Summary'!$B$9, 'Retirment Pay Summary'!$B$8,(INDEX('2019 Pay Chart'!$A$2:$A$25,(MATCH('Retirment Pay Summary'!$B$8,'2019 Pay Chart'!$A$2:$A$25,)+1))))</f>
        <v>W-3</v>
      </c>
      <c r="E31" s="31" t="str">
        <f t="shared" si="2"/>
        <v>'2018 Pay Chart'!$A$1:$W$25</v>
      </c>
      <c r="F31" s="31" t="str">
        <f t="shared" si="3"/>
        <v>'2018 Pay Chart'!$A$1:$W$1</v>
      </c>
      <c r="G31" s="31">
        <f t="shared" ca="1" si="4"/>
        <v>12</v>
      </c>
      <c r="H31" s="1">
        <f t="shared" ca="1" si="5"/>
        <v>6102.3</v>
      </c>
    </row>
    <row r="32" spans="1:8" x14ac:dyDescent="0.25">
      <c r="A32" s="29">
        <f>EDATE(A$41,9)</f>
        <v>43344</v>
      </c>
      <c r="B32">
        <f t="shared" si="1"/>
        <v>2018</v>
      </c>
      <c r="C32" s="31">
        <f>EVEN((ROUNDDOWN((DATEDIF('Retirment Pay Summary'!$B$2,'Retirement Pay Calculations'!A32,"M")/12),0))-1)</f>
        <v>18</v>
      </c>
      <c r="D32" s="31" t="str">
        <f>IF(A32&gt;='Retirment Pay Summary'!$B$9, 'Retirment Pay Summary'!$B$8,(INDEX('2019 Pay Chart'!$A$2:$A$25,(MATCH('Retirment Pay Summary'!$B$8,'2019 Pay Chart'!$A$2:$A$25,)+1))))</f>
        <v>W-3</v>
      </c>
      <c r="E32" s="31" t="str">
        <f t="shared" si="2"/>
        <v>'2018 Pay Chart'!$A$1:$W$25</v>
      </c>
      <c r="F32" s="31" t="str">
        <f t="shared" si="3"/>
        <v>'2018 Pay Chart'!$A$1:$W$1</v>
      </c>
      <c r="G32" s="31">
        <f t="shared" ca="1" si="4"/>
        <v>12</v>
      </c>
      <c r="H32" s="1">
        <f t="shared" ca="1" si="5"/>
        <v>6102.3</v>
      </c>
    </row>
    <row r="33" spans="1:8" x14ac:dyDescent="0.25">
      <c r="A33" s="29">
        <f>EDATE(A$41,8)</f>
        <v>43313</v>
      </c>
      <c r="B33">
        <f t="shared" si="1"/>
        <v>2018</v>
      </c>
      <c r="C33" s="31">
        <f>EVEN((ROUNDDOWN((DATEDIF('Retirment Pay Summary'!$B$2,'Retirement Pay Calculations'!A33,"M")/12),0))-1)</f>
        <v>18</v>
      </c>
      <c r="D33" s="31" t="str">
        <f>IF(A33&gt;='Retirment Pay Summary'!$B$9, 'Retirment Pay Summary'!$B$8,(INDEX('2019 Pay Chart'!$A$2:$A$25,(MATCH('Retirment Pay Summary'!$B$8,'2019 Pay Chart'!$A$2:$A$25,)+1))))</f>
        <v>W-3</v>
      </c>
      <c r="E33" s="31" t="str">
        <f t="shared" si="2"/>
        <v>'2018 Pay Chart'!$A$1:$W$25</v>
      </c>
      <c r="F33" s="31" t="str">
        <f t="shared" si="3"/>
        <v>'2018 Pay Chart'!$A$1:$W$1</v>
      </c>
      <c r="G33" s="31">
        <f t="shared" ca="1" si="4"/>
        <v>12</v>
      </c>
      <c r="H33" s="1">
        <f t="shared" ca="1" si="5"/>
        <v>6102.3</v>
      </c>
    </row>
    <row r="34" spans="1:8" x14ac:dyDescent="0.25">
      <c r="A34" s="29">
        <f>EDATE(A$41,7)</f>
        <v>43282</v>
      </c>
      <c r="B34">
        <f t="shared" si="1"/>
        <v>2018</v>
      </c>
      <c r="C34" s="31">
        <f>EVEN((ROUNDDOWN((DATEDIF('Retirment Pay Summary'!$B$2,'Retirement Pay Calculations'!A34,"M")/12),0))-1)</f>
        <v>18</v>
      </c>
      <c r="D34" s="31" t="str">
        <f>IF(A34&gt;='Retirment Pay Summary'!$B$9, 'Retirment Pay Summary'!$B$8,(INDEX('2019 Pay Chart'!$A$2:$A$25,(MATCH('Retirment Pay Summary'!$B$8,'2019 Pay Chart'!$A$2:$A$25,)+1))))</f>
        <v>W-3</v>
      </c>
      <c r="E34" s="31" t="str">
        <f t="shared" si="2"/>
        <v>'2018 Pay Chart'!$A$1:$W$25</v>
      </c>
      <c r="F34" s="31" t="str">
        <f t="shared" si="3"/>
        <v>'2018 Pay Chart'!$A$1:$W$1</v>
      </c>
      <c r="G34" s="31">
        <f t="shared" ca="1" si="4"/>
        <v>12</v>
      </c>
      <c r="H34" s="1">
        <f t="shared" ca="1" si="5"/>
        <v>6102.3</v>
      </c>
    </row>
    <row r="35" spans="1:8" x14ac:dyDescent="0.25">
      <c r="A35" s="29">
        <f>EDATE(A$41,6)</f>
        <v>43252</v>
      </c>
      <c r="B35">
        <f t="shared" si="1"/>
        <v>2018</v>
      </c>
      <c r="C35" s="31">
        <f>EVEN((ROUNDDOWN((DATEDIF('Retirment Pay Summary'!$B$2,'Retirement Pay Calculations'!A35,"M")/12),0))-1)</f>
        <v>18</v>
      </c>
      <c r="D35" s="31" t="str">
        <f>IF(A35&gt;='Retirment Pay Summary'!$B$9, 'Retirment Pay Summary'!$B$8,(INDEX('2019 Pay Chart'!$A$2:$A$25,(MATCH('Retirment Pay Summary'!$B$8,'2019 Pay Chart'!$A$2:$A$25,)+1))))</f>
        <v>W-3</v>
      </c>
      <c r="E35" s="31" t="str">
        <f t="shared" si="2"/>
        <v>'2018 Pay Chart'!$A$1:$W$25</v>
      </c>
      <c r="F35" s="31" t="str">
        <f t="shared" si="3"/>
        <v>'2018 Pay Chart'!$A$1:$W$1</v>
      </c>
      <c r="G35" s="31">
        <f t="shared" ca="1" si="4"/>
        <v>12</v>
      </c>
      <c r="H35" s="1">
        <f t="shared" ca="1" si="5"/>
        <v>6102.3</v>
      </c>
    </row>
    <row r="36" spans="1:8" x14ac:dyDescent="0.25">
      <c r="A36" s="29">
        <f>EDATE(A$41,5)</f>
        <v>43221</v>
      </c>
      <c r="B36">
        <f t="shared" si="1"/>
        <v>2018</v>
      </c>
      <c r="C36" s="31">
        <f>EVEN((ROUNDDOWN((DATEDIF('Retirment Pay Summary'!$B$2,'Retirement Pay Calculations'!A36,"M")/12),0))-1)</f>
        <v>18</v>
      </c>
      <c r="D36" s="31" t="str">
        <f>IF(A36&gt;='Retirment Pay Summary'!$B$9, 'Retirment Pay Summary'!$B$8,(INDEX('2019 Pay Chart'!$A$2:$A$25,(MATCH('Retirment Pay Summary'!$B$8,'2019 Pay Chart'!$A$2:$A$25,)+1))))</f>
        <v>W-3</v>
      </c>
      <c r="E36" s="31" t="str">
        <f t="shared" si="2"/>
        <v>'2018 Pay Chart'!$A$1:$W$25</v>
      </c>
      <c r="F36" s="31" t="str">
        <f t="shared" si="3"/>
        <v>'2018 Pay Chart'!$A$1:$W$1</v>
      </c>
      <c r="G36" s="31">
        <f t="shared" ca="1" si="4"/>
        <v>12</v>
      </c>
      <c r="H36" s="1">
        <f t="shared" ca="1" si="5"/>
        <v>6102.3</v>
      </c>
    </row>
    <row r="37" spans="1:8" x14ac:dyDescent="0.25">
      <c r="A37" s="29">
        <f>EDATE(A$41,4)</f>
        <v>43191</v>
      </c>
      <c r="B37">
        <f t="shared" si="1"/>
        <v>2018</v>
      </c>
      <c r="C37" s="31">
        <f>EVEN((ROUNDDOWN((DATEDIF('Retirment Pay Summary'!$B$2,'Retirement Pay Calculations'!A37,"M")/12),0))-1)</f>
        <v>18</v>
      </c>
      <c r="D37" s="31" t="str">
        <f>IF(A37&gt;='Retirment Pay Summary'!$B$9, 'Retirment Pay Summary'!$B$8,(INDEX('2019 Pay Chart'!$A$2:$A$25,(MATCH('Retirment Pay Summary'!$B$8,'2019 Pay Chart'!$A$2:$A$25,)+1))))</f>
        <v>W-3</v>
      </c>
      <c r="E37" s="31" t="str">
        <f t="shared" si="2"/>
        <v>'2018 Pay Chart'!$A$1:$W$25</v>
      </c>
      <c r="F37" s="31" t="str">
        <f t="shared" si="3"/>
        <v>'2018 Pay Chart'!$A$1:$W$1</v>
      </c>
      <c r="G37" s="31">
        <f t="shared" ca="1" si="4"/>
        <v>12</v>
      </c>
      <c r="H37" s="1">
        <f t="shared" ca="1" si="5"/>
        <v>6102.3</v>
      </c>
    </row>
    <row r="38" spans="1:8" x14ac:dyDescent="0.25">
      <c r="A38" s="29">
        <f>EDATE(A$41,3)</f>
        <v>43160</v>
      </c>
      <c r="B38">
        <f t="shared" si="1"/>
        <v>2018</v>
      </c>
      <c r="C38" s="31">
        <f>EVEN((ROUNDDOWN((DATEDIF('Retirment Pay Summary'!$B$2,'Retirement Pay Calculations'!A38,"M")/12),0))-1)</f>
        <v>18</v>
      </c>
      <c r="D38" s="31" t="str">
        <f>IF(A38&gt;='Retirment Pay Summary'!$B$9, 'Retirment Pay Summary'!$B$8,(INDEX('2019 Pay Chart'!$A$2:$A$25,(MATCH('Retirment Pay Summary'!$B$8,'2019 Pay Chart'!$A$2:$A$25,)+1))))</f>
        <v>W-3</v>
      </c>
      <c r="E38" s="31" t="str">
        <f t="shared" si="2"/>
        <v>'2018 Pay Chart'!$A$1:$W$25</v>
      </c>
      <c r="F38" s="31" t="str">
        <f t="shared" si="3"/>
        <v>'2018 Pay Chart'!$A$1:$W$1</v>
      </c>
      <c r="G38" s="31">
        <f t="shared" ca="1" si="4"/>
        <v>12</v>
      </c>
      <c r="H38" s="1">
        <f t="shared" ca="1" si="5"/>
        <v>6102.3</v>
      </c>
    </row>
    <row r="39" spans="1:8" x14ac:dyDescent="0.25">
      <c r="A39" s="29">
        <f>EDATE(A$41,2)</f>
        <v>43132</v>
      </c>
      <c r="B39">
        <f t="shared" si="1"/>
        <v>2018</v>
      </c>
      <c r="C39" s="31">
        <f>EVEN((ROUNDDOWN((DATEDIF('Retirment Pay Summary'!$B$2,'Retirement Pay Calculations'!A39,"M")/12),0))-1)</f>
        <v>18</v>
      </c>
      <c r="D39" s="31" t="str">
        <f>IF(A39&gt;='Retirment Pay Summary'!$B$9, 'Retirment Pay Summary'!$B$8,(INDEX('2019 Pay Chart'!$A$2:$A$25,(MATCH('Retirment Pay Summary'!$B$8,'2019 Pay Chart'!$A$2:$A$25,)+1))))</f>
        <v>W-3</v>
      </c>
      <c r="E39" s="31" t="str">
        <f t="shared" si="2"/>
        <v>'2018 Pay Chart'!$A$1:$W$25</v>
      </c>
      <c r="F39" s="31" t="str">
        <f t="shared" si="3"/>
        <v>'2018 Pay Chart'!$A$1:$W$1</v>
      </c>
      <c r="G39" s="31">
        <f t="shared" ca="1" si="4"/>
        <v>12</v>
      </c>
      <c r="H39" s="1">
        <f t="shared" ca="1" si="5"/>
        <v>6102.3</v>
      </c>
    </row>
    <row r="40" spans="1:8" x14ac:dyDescent="0.25">
      <c r="A40" s="29">
        <f>EDATE(A$41,1)</f>
        <v>43101</v>
      </c>
      <c r="B40">
        <f t="shared" si="1"/>
        <v>2018</v>
      </c>
      <c r="C40" s="31">
        <f>EVEN((ROUNDDOWN((DATEDIF('Retirment Pay Summary'!$B$2,'Retirement Pay Calculations'!A40,"M")/12),0))-1)</f>
        <v>18</v>
      </c>
      <c r="D40" s="31" t="str">
        <f>IF(A40&gt;='Retirment Pay Summary'!$B$9, 'Retirment Pay Summary'!$B$8,(INDEX('2019 Pay Chart'!$A$2:$A$25,(MATCH('Retirment Pay Summary'!$B$8,'2019 Pay Chart'!$A$2:$A$25,)+1))))</f>
        <v>W-3</v>
      </c>
      <c r="E40" s="31" t="str">
        <f t="shared" si="2"/>
        <v>'2018 Pay Chart'!$A$1:$W$25</v>
      </c>
      <c r="F40" s="31" t="str">
        <f t="shared" si="3"/>
        <v>'2018 Pay Chart'!$A$1:$W$1</v>
      </c>
      <c r="G40" s="31">
        <f t="shared" ca="1" si="4"/>
        <v>12</v>
      </c>
      <c r="H40" s="1">
        <f t="shared" ca="1" si="5"/>
        <v>6102.3</v>
      </c>
    </row>
    <row r="41" spans="1:8" x14ac:dyDescent="0.25">
      <c r="A41" s="29">
        <f>EDATE('Retirment Pay Summary'!B3,-37)</f>
        <v>43070</v>
      </c>
      <c r="B41">
        <f t="shared" si="1"/>
        <v>2017</v>
      </c>
      <c r="C41" s="31">
        <f>EVEN((ROUNDDOWN((DATEDIF('Retirment Pay Summary'!$B$2,'Retirement Pay Calculations'!A41,"M")/12),0))-1)</f>
        <v>16</v>
      </c>
      <c r="D41" s="31" t="str">
        <f>IF(A41&gt;='Retirment Pay Summary'!$B$9, 'Retirment Pay Summary'!$B$8,(INDEX('2019 Pay Chart'!$A$2:$A$25,(MATCH('Retirment Pay Summary'!$B$8,'2019 Pay Chart'!$A$2:$A$25,)+1))))</f>
        <v>W-3</v>
      </c>
      <c r="E41" s="31" t="str">
        <f t="shared" si="2"/>
        <v>'2017 Pay Chart'!$A$1:$W$25</v>
      </c>
      <c r="F41" s="31" t="str">
        <f t="shared" si="3"/>
        <v>'2017 Pay Chart'!$A$1:$W$1</v>
      </c>
      <c r="G41" s="31">
        <f t="shared" ca="1" si="4"/>
        <v>11</v>
      </c>
      <c r="H41" s="1">
        <f t="shared" ca="1" si="5"/>
        <v>5605.5</v>
      </c>
    </row>
    <row r="42" spans="1:8" x14ac:dyDescent="0.25">
      <c r="A42" s="29"/>
      <c r="B42" s="29"/>
      <c r="C42" s="29"/>
      <c r="D42" s="29"/>
      <c r="E42" s="29"/>
      <c r="F42" s="29"/>
      <c r="G42" s="29"/>
      <c r="H42" s="1"/>
    </row>
    <row r="43" spans="1:8" x14ac:dyDescent="0.25">
      <c r="A43" s="29"/>
      <c r="B43" s="29"/>
      <c r="C43" s="29"/>
      <c r="D43" s="29"/>
      <c r="E43" s="29"/>
      <c r="F43" s="29"/>
      <c r="G43" s="29"/>
      <c r="H43" s="1"/>
    </row>
  </sheetData>
  <sortState xmlns:xlrd2="http://schemas.microsoft.com/office/spreadsheetml/2017/richdata2" ref="A5:R41">
    <sortCondition descending="1" ref="A5:A41"/>
  </sortState>
  <mergeCells count="1">
    <mergeCell ref="A1:P1"/>
  </mergeCells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D786C-F615-4B90-817B-3F4BEBDC75C5}">
  <sheetPr>
    <tabColor rgb="FF00B050"/>
  </sheetPr>
  <dimension ref="A1:F46"/>
  <sheetViews>
    <sheetView topLeftCell="A11" workbookViewId="0">
      <selection activeCell="F16" sqref="F16"/>
    </sheetView>
  </sheetViews>
  <sheetFormatPr defaultRowHeight="15" x14ac:dyDescent="0.25"/>
  <cols>
    <col min="1" max="1" width="40" bestFit="1" customWidth="1"/>
    <col min="2" max="2" width="14.85546875" customWidth="1"/>
    <col min="3" max="3" width="21.42578125" bestFit="1" customWidth="1"/>
    <col min="4" max="4" width="35.5703125" bestFit="1" customWidth="1"/>
    <col min="5" max="5" width="20" bestFit="1" customWidth="1"/>
    <col min="6" max="6" width="12.5703125" bestFit="1" customWidth="1"/>
    <col min="7" max="7" width="10.5703125" bestFit="1" customWidth="1"/>
  </cols>
  <sheetData>
    <row r="1" spans="1:6" x14ac:dyDescent="0.25">
      <c r="A1" s="79" t="s">
        <v>84</v>
      </c>
      <c r="B1" s="79"/>
    </row>
    <row r="2" spans="1:6" hidden="1" x14ac:dyDescent="0.25">
      <c r="A2" s="65" t="s">
        <v>150</v>
      </c>
      <c r="B2" s="44">
        <f>D38/D19</f>
        <v>8.3238196574642126E-2</v>
      </c>
    </row>
    <row r="3" spans="1:6" x14ac:dyDescent="0.25">
      <c r="A3" s="66" t="s">
        <v>68</v>
      </c>
      <c r="B3" s="67">
        <f>Information!E8</f>
        <v>0</v>
      </c>
    </row>
    <row r="4" spans="1:6" x14ac:dyDescent="0.25">
      <c r="A4" s="66" t="s">
        <v>69</v>
      </c>
      <c r="B4" s="67">
        <f>Information!E9</f>
        <v>7.0999999999999994E-2</v>
      </c>
    </row>
    <row r="5" spans="1:6" x14ac:dyDescent="0.25">
      <c r="A5" s="68" t="s">
        <v>78</v>
      </c>
      <c r="B5" s="67">
        <f>Information!E32</f>
        <v>0.06</v>
      </c>
    </row>
    <row r="6" spans="1:6" x14ac:dyDescent="0.25">
      <c r="A6" s="68" t="s">
        <v>80</v>
      </c>
      <c r="B6" s="69">
        <f>Information!E33</f>
        <v>0</v>
      </c>
    </row>
    <row r="7" spans="1:6" x14ac:dyDescent="0.25">
      <c r="A7" s="68" t="s">
        <v>105</v>
      </c>
      <c r="B7" s="69">
        <f>Information!E34</f>
        <v>0</v>
      </c>
    </row>
    <row r="8" spans="1:6" x14ac:dyDescent="0.25">
      <c r="A8" s="68" t="s">
        <v>106</v>
      </c>
      <c r="B8" s="69">
        <f>Information!E35</f>
        <v>0</v>
      </c>
    </row>
    <row r="9" spans="1:6" x14ac:dyDescent="0.25">
      <c r="A9" s="68" t="s">
        <v>94</v>
      </c>
      <c r="B9" s="69">
        <f>Information!E7</f>
        <v>27700</v>
      </c>
    </row>
    <row r="10" spans="1:6" x14ac:dyDescent="0.25">
      <c r="A10" s="68" t="s">
        <v>99</v>
      </c>
      <c r="B10" s="35" t="str">
        <f>Information!E6</f>
        <v>Joint</v>
      </c>
    </row>
    <row r="11" spans="1:6" x14ac:dyDescent="0.25">
      <c r="A11" s="7"/>
    </row>
    <row r="14" spans="1:6" x14ac:dyDescent="0.25">
      <c r="A14" s="6"/>
      <c r="B14" s="6" t="s">
        <v>85</v>
      </c>
      <c r="C14" s="6" t="s">
        <v>149</v>
      </c>
      <c r="D14" s="6" t="s">
        <v>161</v>
      </c>
      <c r="E14" s="6" t="s">
        <v>79</v>
      </c>
      <c r="F14" s="6" t="s">
        <v>81</v>
      </c>
    </row>
    <row r="15" spans="1:6" x14ac:dyDescent="0.25">
      <c r="A15" s="77" t="s">
        <v>92</v>
      </c>
      <c r="B15" s="77"/>
      <c r="C15" s="77"/>
      <c r="D15" s="77"/>
      <c r="E15" s="77"/>
      <c r="F15" s="77"/>
    </row>
    <row r="16" spans="1:6" x14ac:dyDescent="0.25">
      <c r="A16" s="46" t="s">
        <v>1</v>
      </c>
      <c r="B16" s="46">
        <f>Information!B19</f>
        <v>7309</v>
      </c>
      <c r="C16" s="46">
        <f>B16*12</f>
        <v>87708</v>
      </c>
      <c r="D16" s="46">
        <f>C26</f>
        <v>125184</v>
      </c>
      <c r="E16" s="46">
        <f>CEILING(E25,1000)</f>
        <v>154000</v>
      </c>
      <c r="F16" s="24">
        <v>151000</v>
      </c>
    </row>
    <row r="17" spans="1:6" x14ac:dyDescent="0.25">
      <c r="A17" s="46" t="s">
        <v>133</v>
      </c>
      <c r="B17" s="46">
        <f>SUM(Information!B20:B21)</f>
        <v>200</v>
      </c>
      <c r="C17" s="46">
        <f t="shared" ref="C17:C18" si="0">B17*12</f>
        <v>2400</v>
      </c>
      <c r="D17" s="46">
        <v>0</v>
      </c>
      <c r="E17" s="46">
        <v>0</v>
      </c>
      <c r="F17" s="24">
        <v>0</v>
      </c>
    </row>
    <row r="18" spans="1:6" ht="15.75" thickBot="1" x14ac:dyDescent="0.3">
      <c r="A18" s="46" t="s">
        <v>134</v>
      </c>
      <c r="B18" s="48">
        <f>Information!B22</f>
        <v>0</v>
      </c>
      <c r="C18" s="48">
        <f t="shared" si="0"/>
        <v>0</v>
      </c>
      <c r="D18" s="48">
        <v>0</v>
      </c>
      <c r="E18" s="48">
        <v>0</v>
      </c>
      <c r="F18" s="34">
        <v>0</v>
      </c>
    </row>
    <row r="19" spans="1:6" x14ac:dyDescent="0.25">
      <c r="A19" s="46" t="s">
        <v>136</v>
      </c>
      <c r="B19" s="49">
        <f>SUM(B16:B18)</f>
        <v>7509</v>
      </c>
      <c r="C19" s="49">
        <f>SUM(C16:C18)</f>
        <v>90108</v>
      </c>
      <c r="D19" s="49">
        <f>SUM(D16:D18)</f>
        <v>125184</v>
      </c>
      <c r="E19" s="49">
        <f>SUM(E16:E18)</f>
        <v>154000</v>
      </c>
      <c r="F19" s="49">
        <f>SUM(F16:F18)</f>
        <v>151000</v>
      </c>
    </row>
    <row r="20" spans="1:6" x14ac:dyDescent="0.25">
      <c r="A20" s="80" t="s">
        <v>135</v>
      </c>
      <c r="B20" s="80"/>
      <c r="C20" s="80"/>
      <c r="D20" s="80"/>
      <c r="E20" s="80"/>
      <c r="F20" s="80"/>
    </row>
    <row r="21" spans="1:6" x14ac:dyDescent="0.25">
      <c r="A21" s="46" t="s">
        <v>66</v>
      </c>
      <c r="B21" s="46">
        <f>Information!B24</f>
        <v>2600</v>
      </c>
      <c r="C21" s="46">
        <f t="shared" ref="C21:C23" si="1">B21*12</f>
        <v>31200</v>
      </c>
      <c r="D21" s="51">
        <v>0</v>
      </c>
      <c r="E21" s="51">
        <v>0</v>
      </c>
      <c r="F21" s="51">
        <v>0</v>
      </c>
    </row>
    <row r="22" spans="1:6" x14ac:dyDescent="0.25">
      <c r="A22" s="46" t="s">
        <v>67</v>
      </c>
      <c r="B22" s="46">
        <f>Information!B25</f>
        <v>323</v>
      </c>
      <c r="C22" s="46">
        <f t="shared" si="1"/>
        <v>3876</v>
      </c>
      <c r="D22" s="51">
        <v>0</v>
      </c>
      <c r="E22" s="51">
        <v>0</v>
      </c>
      <c r="F22" s="51">
        <v>0</v>
      </c>
    </row>
    <row r="23" spans="1:6" ht="15.75" thickBot="1" x14ac:dyDescent="0.3">
      <c r="A23" s="46" t="s">
        <v>134</v>
      </c>
      <c r="B23" s="48">
        <f>Information!B26</f>
        <v>0</v>
      </c>
      <c r="C23" s="48">
        <f t="shared" si="1"/>
        <v>0</v>
      </c>
      <c r="D23" s="48">
        <v>0</v>
      </c>
      <c r="E23" s="48">
        <v>0</v>
      </c>
      <c r="F23" s="34">
        <v>0</v>
      </c>
    </row>
    <row r="24" spans="1:6" ht="15.75" thickBot="1" x14ac:dyDescent="0.3">
      <c r="A24" s="46" t="s">
        <v>137</v>
      </c>
      <c r="B24" s="52">
        <f>SUM(B21:B23)</f>
        <v>2923</v>
      </c>
      <c r="C24" s="52">
        <f>SUM(C21:C23)</f>
        <v>35076</v>
      </c>
      <c r="D24" s="52">
        <f>SUM(D21:D23)</f>
        <v>0</v>
      </c>
      <c r="E24" s="52">
        <f>SUM(E21:E23)</f>
        <v>0</v>
      </c>
      <c r="F24" s="52">
        <f>SUM(F21:F23)</f>
        <v>0</v>
      </c>
    </row>
    <row r="25" spans="1:6" ht="1.5" hidden="1" thickTop="1" x14ac:dyDescent="0.25">
      <c r="A25" s="46" t="s">
        <v>152</v>
      </c>
      <c r="B25" s="70"/>
      <c r="C25" s="70"/>
      <c r="D25" s="70"/>
      <c r="E25" s="70">
        <f>(E35/(1-B5))+SUM(E28:E29,E32)</f>
        <v>153838.6396344518</v>
      </c>
      <c r="F25" s="70"/>
    </row>
    <row r="26" spans="1:6" ht="15.75" x14ac:dyDescent="0.25">
      <c r="A26" s="46" t="s">
        <v>74</v>
      </c>
      <c r="B26" s="58">
        <f>B24+B19</f>
        <v>10432</v>
      </c>
      <c r="C26" s="58">
        <f>C24+C19</f>
        <v>125184</v>
      </c>
      <c r="D26" s="58">
        <f>D24+D19</f>
        <v>125184</v>
      </c>
      <c r="E26" s="58">
        <f>E24+E19</f>
        <v>154000</v>
      </c>
      <c r="F26" s="58">
        <f>F24+F19</f>
        <v>151000</v>
      </c>
    </row>
    <row r="27" spans="1:6" x14ac:dyDescent="0.25">
      <c r="A27" s="80" t="s">
        <v>87</v>
      </c>
      <c r="B27" s="80"/>
      <c r="C27" s="80"/>
      <c r="D27" s="80"/>
      <c r="E27" s="80"/>
      <c r="F27" s="80"/>
    </row>
    <row r="28" spans="1:6" x14ac:dyDescent="0.25">
      <c r="A28" s="46" t="s">
        <v>89</v>
      </c>
      <c r="B28" s="51">
        <v>0</v>
      </c>
      <c r="C28" s="51">
        <v>0</v>
      </c>
      <c r="D28" s="46">
        <f>$B$8</f>
        <v>0</v>
      </c>
      <c r="E28" s="46">
        <f>$B$8</f>
        <v>0</v>
      </c>
      <c r="F28" s="24"/>
    </row>
    <row r="29" spans="1:6" x14ac:dyDescent="0.25">
      <c r="A29" s="46" t="s">
        <v>88</v>
      </c>
      <c r="B29" s="51">
        <v>0</v>
      </c>
      <c r="C29" s="51">
        <v>0</v>
      </c>
      <c r="D29" s="46">
        <f>$B$7</f>
        <v>0</v>
      </c>
      <c r="E29" s="46">
        <f>$B$7</f>
        <v>0</v>
      </c>
      <c r="F29" s="24">
        <v>0</v>
      </c>
    </row>
    <row r="30" spans="1:6" x14ac:dyDescent="0.25">
      <c r="A30" s="46" t="s">
        <v>155</v>
      </c>
      <c r="B30" s="51"/>
      <c r="C30" s="51"/>
      <c r="D30" s="51"/>
      <c r="E30" s="51"/>
      <c r="F30" s="27">
        <v>0.05</v>
      </c>
    </row>
    <row r="31" spans="1:6" x14ac:dyDescent="0.25">
      <c r="A31" s="46" t="s">
        <v>77</v>
      </c>
      <c r="B31" s="51">
        <v>0</v>
      </c>
      <c r="C31" s="51">
        <v>0</v>
      </c>
      <c r="D31" s="46">
        <f>D16*$B$5</f>
        <v>7511.04</v>
      </c>
      <c r="E31" s="46">
        <f>E16*$B$5</f>
        <v>9240</v>
      </c>
      <c r="F31" s="46">
        <f>F16*F30</f>
        <v>7550</v>
      </c>
    </row>
    <row r="32" spans="1:6" ht="15.75" thickBot="1" x14ac:dyDescent="0.3">
      <c r="A32" s="46" t="s">
        <v>76</v>
      </c>
      <c r="B32" s="47">
        <v>0</v>
      </c>
      <c r="C32" s="47">
        <v>0</v>
      </c>
      <c r="D32" s="48">
        <f>$B$6</f>
        <v>0</v>
      </c>
      <c r="E32" s="48">
        <f>$B$6</f>
        <v>0</v>
      </c>
      <c r="F32" s="34">
        <v>0</v>
      </c>
    </row>
    <row r="33" spans="1:6" x14ac:dyDescent="0.25">
      <c r="A33" s="46" t="s">
        <v>90</v>
      </c>
      <c r="B33" s="71">
        <f>SUM(B28:B32)</f>
        <v>0</v>
      </c>
      <c r="C33" s="71">
        <f>SUM(C28:C32)</f>
        <v>0</v>
      </c>
      <c r="D33" s="54">
        <f>SUM(D28:D32)</f>
        <v>7511.04</v>
      </c>
      <c r="E33" s="54">
        <f>SUM(E28:E32)</f>
        <v>9240</v>
      </c>
      <c r="F33" s="54">
        <f>SUM(F28:F29,F31:F32)</f>
        <v>7550</v>
      </c>
    </row>
    <row r="34" spans="1:6" ht="15.75" thickBot="1" x14ac:dyDescent="0.3">
      <c r="A34" s="46" t="s">
        <v>139</v>
      </c>
      <c r="B34" s="72">
        <v>0</v>
      </c>
      <c r="C34" s="55">
        <f>$B$9</f>
        <v>27700</v>
      </c>
      <c r="D34" s="55">
        <f t="shared" ref="D34:F34" si="2">$B$9</f>
        <v>27700</v>
      </c>
      <c r="E34" s="55">
        <f t="shared" si="2"/>
        <v>27700</v>
      </c>
      <c r="F34" s="55">
        <f t="shared" si="2"/>
        <v>27700</v>
      </c>
    </row>
    <row r="35" spans="1:6" ht="1.5" hidden="1" thickTop="1" x14ac:dyDescent="0.25">
      <c r="A35" s="46" t="s">
        <v>151</v>
      </c>
      <c r="B35" s="73"/>
      <c r="C35" s="73"/>
      <c r="D35" s="73"/>
      <c r="E35" s="73">
        <f>C43/(1-(B2+B4+0.0145+0.062))</f>
        <v>144608.32125638469</v>
      </c>
      <c r="F35" s="73"/>
    </row>
    <row r="36" spans="1:6" ht="15.75" x14ac:dyDescent="0.25">
      <c r="A36" s="46" t="s">
        <v>138</v>
      </c>
      <c r="B36" s="58">
        <f>B19-B33-B34</f>
        <v>7509</v>
      </c>
      <c r="C36" s="58">
        <f>C19-C34-C33</f>
        <v>62408</v>
      </c>
      <c r="D36" s="58">
        <f>D19-D34-D33</f>
        <v>89972.96</v>
      </c>
      <c r="E36" s="58">
        <f>E19-E34-E33</f>
        <v>117060</v>
      </c>
      <c r="F36" s="58">
        <f>F19-F34-F33</f>
        <v>115750</v>
      </c>
    </row>
    <row r="37" spans="1:6" x14ac:dyDescent="0.25">
      <c r="A37" s="80" t="s">
        <v>91</v>
      </c>
      <c r="B37" s="80"/>
      <c r="C37" s="80"/>
      <c r="D37" s="80"/>
      <c r="E37" s="80"/>
      <c r="F37" s="80"/>
    </row>
    <row r="38" spans="1:6" x14ac:dyDescent="0.25">
      <c r="A38" s="46" t="s">
        <v>70</v>
      </c>
      <c r="B38" s="46">
        <f>C38/12</f>
        <v>587.42333333333329</v>
      </c>
      <c r="C38" s="46">
        <f>'Tax Brackets'!O15</f>
        <v>7049.08</v>
      </c>
      <c r="D38" s="46">
        <f>'Tax Brackets'!O16</f>
        <v>10420.090399999999</v>
      </c>
      <c r="E38" s="46">
        <f>'Tax Brackets'!O17</f>
        <v>16920.979999999996</v>
      </c>
      <c r="F38" s="46">
        <f>'Tax Brackets'!O18</f>
        <v>16606.579999999998</v>
      </c>
    </row>
    <row r="39" spans="1:6" x14ac:dyDescent="0.25">
      <c r="A39" s="46" t="s">
        <v>71</v>
      </c>
      <c r="B39" s="46">
        <f>B36*$B$3</f>
        <v>0</v>
      </c>
      <c r="C39" s="46">
        <f>C36*$B$3</f>
        <v>0</v>
      </c>
      <c r="D39" s="46">
        <f>D36*$B$4</f>
        <v>6388.0801599999995</v>
      </c>
      <c r="E39" s="46">
        <f>E36*$B$4</f>
        <v>8311.2599999999984</v>
      </c>
      <c r="F39" s="46">
        <f>F36*$B$4</f>
        <v>8218.25</v>
      </c>
    </row>
    <row r="40" spans="1:6" x14ac:dyDescent="0.25">
      <c r="A40" s="46" t="s">
        <v>72</v>
      </c>
      <c r="B40" s="46">
        <f>(B19-B33)*0.062</f>
        <v>465.55799999999999</v>
      </c>
      <c r="C40" s="46">
        <f>MIN((C19-C33),147000)*0.062</f>
        <v>5586.6959999999999</v>
      </c>
      <c r="D40" s="46">
        <f>MIN((D19-D33),147000)*0.062</f>
        <v>7295.7235200000005</v>
      </c>
      <c r="E40" s="46">
        <f>MIN((E19-E33), 147000)*0.062</f>
        <v>8975.1200000000008</v>
      </c>
      <c r="F40" s="46">
        <f>(F19-F33)*0.062</f>
        <v>8893.9</v>
      </c>
    </row>
    <row r="41" spans="1:6" ht="15.75" thickBot="1" x14ac:dyDescent="0.3">
      <c r="A41" s="46" t="s">
        <v>73</v>
      </c>
      <c r="B41" s="48">
        <f>(B19-B33)*0.0145</f>
        <v>108.88050000000001</v>
      </c>
      <c r="C41" s="48">
        <f>(C19-C33)*0.0145</f>
        <v>1306.566</v>
      </c>
      <c r="D41" s="48">
        <f>(D19-D33)*0.0145</f>
        <v>1706.2579200000002</v>
      </c>
      <c r="E41" s="48">
        <f>(E19-E33)*0.0145</f>
        <v>2099.02</v>
      </c>
      <c r="F41" s="48">
        <f>(F19-F33)*0.0145</f>
        <v>2080.0250000000001</v>
      </c>
    </row>
    <row r="42" spans="1:6" ht="15.75" thickBot="1" x14ac:dyDescent="0.3">
      <c r="A42" s="46" t="s">
        <v>93</v>
      </c>
      <c r="B42" s="56">
        <f>SUM(B38:B41)</f>
        <v>1161.8618333333332</v>
      </c>
      <c r="C42" s="56">
        <f>SUM(C38:C41)</f>
        <v>13942.342000000001</v>
      </c>
      <c r="D42" s="56">
        <f>SUM(D38:D41)</f>
        <v>25810.151999999998</v>
      </c>
      <c r="E42" s="56">
        <f>SUM(E38:E41)</f>
        <v>36306.37999999999</v>
      </c>
      <c r="F42" s="56">
        <f>SUM(F38:F41)</f>
        <v>35798.754999999997</v>
      </c>
    </row>
    <row r="43" spans="1:6" ht="15.75" thickTop="1" x14ac:dyDescent="0.25">
      <c r="A43" s="46" t="s">
        <v>95</v>
      </c>
      <c r="B43" s="49">
        <f>(B19-B33-B42)+B24</f>
        <v>9270.1381666666675</v>
      </c>
      <c r="C43" s="49">
        <f>(C19-C33-C42)+C24</f>
        <v>111241.658</v>
      </c>
      <c r="D43" s="49">
        <f>(D19-D33-D42)+D24</f>
        <v>91862.808000000005</v>
      </c>
      <c r="E43" s="49">
        <f>(E19-E33-E42)+E24</f>
        <v>108453.62000000001</v>
      </c>
      <c r="F43" s="49">
        <f>(F19-F33-F42)+F24</f>
        <v>107651.245</v>
      </c>
    </row>
    <row r="44" spans="1:6" x14ac:dyDescent="0.25">
      <c r="A44" s="46" t="s">
        <v>107</v>
      </c>
      <c r="B44" s="58">
        <f>B43/12</f>
        <v>772.511513888889</v>
      </c>
      <c r="C44" s="58">
        <f>C43/12</f>
        <v>9270.1381666666657</v>
      </c>
      <c r="D44" s="58">
        <f>D43/12</f>
        <v>7655.2340000000004</v>
      </c>
      <c r="E44" s="58">
        <f>E43/12</f>
        <v>9037.8016666666681</v>
      </c>
      <c r="F44" s="58">
        <f>F43/12</f>
        <v>8970.9370833333323</v>
      </c>
    </row>
    <row r="45" spans="1:6" x14ac:dyDescent="0.25">
      <c r="A45" s="69" t="s">
        <v>153</v>
      </c>
      <c r="B45" s="74"/>
      <c r="C45" s="74"/>
      <c r="D45" s="75">
        <f>D43-$C$43</f>
        <v>-19378.849999999991</v>
      </c>
      <c r="E45" s="75">
        <f>E43-$C$43</f>
        <v>-2788.0379999999859</v>
      </c>
      <c r="F45" s="75">
        <f>F43-$C$43</f>
        <v>-3590.4130000000005</v>
      </c>
    </row>
    <row r="46" spans="1:6" x14ac:dyDescent="0.25">
      <c r="A46" s="69" t="s">
        <v>154</v>
      </c>
      <c r="B46" s="74"/>
      <c r="C46" s="74"/>
      <c r="D46" s="75">
        <f>D44-$C$44</f>
        <v>-1614.9041666666653</v>
      </c>
      <c r="E46" s="75">
        <f>E44-$C$44</f>
        <v>-232.33649999999761</v>
      </c>
      <c r="F46" s="75">
        <f>F44-$C$44</f>
        <v>-299.20108333333337</v>
      </c>
    </row>
  </sheetData>
  <sheetProtection sheet="1" objects="1" scenarios="1"/>
  <mergeCells count="5">
    <mergeCell ref="A1:B1"/>
    <mergeCell ref="A15:F15"/>
    <mergeCell ref="A20:F20"/>
    <mergeCell ref="A27:F27"/>
    <mergeCell ref="A37:F37"/>
  </mergeCells>
  <conditionalFormatting sqref="D45">
    <cfRule type="cellIs" dxfId="1" priority="2" operator="lessThan">
      <formula>0</formula>
    </cfRule>
  </conditionalFormatting>
  <conditionalFormatting sqref="D45:F46">
    <cfRule type="cellIs" dxfId="0" priority="1" operator="lessThan">
      <formula>0</formula>
    </cfRule>
  </conditionalFormatting>
  <pageMargins left="0.7" right="0.7" top="0.75" bottom="0.75" header="0.3" footer="0.3"/>
  <pageSetup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BDF39B31-10A0-4F1A-AA47-09E6FE3BCBB9}">
          <x14:formula1>
            <xm:f>'Tax Brackets'!$B$1:$D$1</xm:f>
          </x14:formula1>
          <xm:sqref>B10:B11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7141E-4208-4BA8-AEC4-3EE64EACFFBF}">
  <dimension ref="A1:O20"/>
  <sheetViews>
    <sheetView workbookViewId="0">
      <selection activeCell="H19" sqref="H19"/>
    </sheetView>
  </sheetViews>
  <sheetFormatPr defaultRowHeight="15" x14ac:dyDescent="0.25"/>
  <cols>
    <col min="1" max="1" width="6.5703125" bestFit="1" customWidth="1"/>
    <col min="2" max="2" width="8" bestFit="1" customWidth="1"/>
    <col min="3" max="3" width="18.140625" bestFit="1" customWidth="1"/>
    <col min="4" max="4" width="8" bestFit="1" customWidth="1"/>
    <col min="6" max="6" width="24.140625" bestFit="1" customWidth="1"/>
    <col min="7" max="7" width="12.5703125" bestFit="1" customWidth="1"/>
  </cols>
  <sheetData>
    <row r="1" spans="1:15" x14ac:dyDescent="0.25">
      <c r="B1" t="s">
        <v>4</v>
      </c>
      <c r="C1" t="s">
        <v>96</v>
      </c>
      <c r="D1" t="s">
        <v>97</v>
      </c>
    </row>
    <row r="2" spans="1:15" x14ac:dyDescent="0.25">
      <c r="A2" s="30">
        <v>0.1</v>
      </c>
      <c r="B2">
        <v>11000</v>
      </c>
      <c r="C2">
        <v>15700</v>
      </c>
      <c r="D2">
        <v>22000</v>
      </c>
    </row>
    <row r="3" spans="1:15" x14ac:dyDescent="0.25">
      <c r="A3" s="30">
        <v>0.12</v>
      </c>
      <c r="B3">
        <v>44725</v>
      </c>
      <c r="C3">
        <v>59850</v>
      </c>
      <c r="D3">
        <v>89450</v>
      </c>
    </row>
    <row r="4" spans="1:15" x14ac:dyDescent="0.25">
      <c r="A4" s="30">
        <v>0.22</v>
      </c>
      <c r="B4">
        <v>95375</v>
      </c>
      <c r="C4">
        <v>95350</v>
      </c>
      <c r="D4">
        <v>89450</v>
      </c>
    </row>
    <row r="5" spans="1:15" x14ac:dyDescent="0.25">
      <c r="A5" s="30">
        <v>0.24</v>
      </c>
      <c r="B5">
        <v>182100</v>
      </c>
      <c r="C5">
        <v>182100</v>
      </c>
      <c r="D5">
        <v>364200</v>
      </c>
    </row>
    <row r="6" spans="1:15" x14ac:dyDescent="0.25">
      <c r="A6" s="30">
        <v>0.32</v>
      </c>
      <c r="B6">
        <v>231250</v>
      </c>
      <c r="C6">
        <v>231250</v>
      </c>
      <c r="D6">
        <v>462500</v>
      </c>
    </row>
    <row r="7" spans="1:15" x14ac:dyDescent="0.25">
      <c r="A7" s="30">
        <v>0.35</v>
      </c>
      <c r="B7">
        <v>578125</v>
      </c>
      <c r="C7">
        <v>578100</v>
      </c>
      <c r="D7">
        <v>693750</v>
      </c>
    </row>
    <row r="8" spans="1:15" x14ac:dyDescent="0.25">
      <c r="A8" s="30">
        <v>0.37</v>
      </c>
      <c r="B8">
        <v>1000000</v>
      </c>
      <c r="C8">
        <v>1000000</v>
      </c>
      <c r="D8">
        <v>1000000</v>
      </c>
    </row>
    <row r="12" spans="1:15" x14ac:dyDescent="0.25">
      <c r="G12" t="s">
        <v>100</v>
      </c>
      <c r="H12" t="str">
        <f>'Salary Calculator'!B10</f>
        <v>Joint</v>
      </c>
      <c r="J12" t="s">
        <v>101</v>
      </c>
      <c r="K12">
        <f>MATCH(H12,A1:D1,0)</f>
        <v>4</v>
      </c>
    </row>
    <row r="14" spans="1:15" x14ac:dyDescent="0.25">
      <c r="H14" s="30">
        <f>A2</f>
        <v>0.1</v>
      </c>
      <c r="I14" s="30">
        <f>A3</f>
        <v>0.12</v>
      </c>
      <c r="J14" s="30">
        <f>A4</f>
        <v>0.22</v>
      </c>
      <c r="K14" s="30">
        <f>A5</f>
        <v>0.24</v>
      </c>
      <c r="L14" s="30">
        <f>A6</f>
        <v>0.32</v>
      </c>
      <c r="M14" s="30">
        <f>A7</f>
        <v>0.35</v>
      </c>
      <c r="N14" s="30">
        <f>A8</f>
        <v>0.37</v>
      </c>
      <c r="O14" t="s">
        <v>98</v>
      </c>
    </row>
    <row r="15" spans="1:15" x14ac:dyDescent="0.25">
      <c r="F15" t="s">
        <v>102</v>
      </c>
      <c r="G15" s="22">
        <f>'Salary Calculator'!C36</f>
        <v>62408</v>
      </c>
      <c r="H15">
        <f>IF(G15&gt;VLOOKUP($H$14,$A$1:$D$8,$K$12,FALSE),VLOOKUP($H$14,$A$1:D8,$K$12,FALSE)*$H$14,G15*$H$14)</f>
        <v>2200</v>
      </c>
      <c r="I15">
        <f t="shared" ref="I15:I20" si="0">IF(G15&gt;VLOOKUP(H$14,$A$1:$D$8,$K$12,FALSE),IF(G15&gt;VLOOKUP(I$14,$A$1:$D$8,$K$12,FALSE),(VLOOKUP(I$14,$A$1:$D$8,$K$12,FALSE)-VLOOKUP(H$14,$A$1:$D$8,$K$12,FALSE)+1)*I$14,(G15-VLOOKUP(H$14,$A$1:$D$8,$K$12,FALSE)+1)*I$14),0)</f>
        <v>4849.08</v>
      </c>
      <c r="J15">
        <f t="shared" ref="J15:J20" si="1">IF(G15&gt;VLOOKUP(I$14,$A$1:$D$8,$K$12,FALSE),IF(G15&gt;VLOOKUP(J$14,$A$1:$D$8,$K$12,FALSE),(VLOOKUP(J$14,$A$1:$D$8,$K$12,FALSE)-VLOOKUP(I$14,$A$1:$D$8,$K$12,FALSE)+1)*J$14,(G15-VLOOKUP(I$14,$A$1:$D$8,$K$12,FALSE)+1)*J$14),0)</f>
        <v>0</v>
      </c>
      <c r="K15">
        <f t="shared" ref="K15:K20" si="2">IF(G15&gt;VLOOKUP(J$14,$A$1:$D$8,$K$12,FALSE),IF(G15&gt;VLOOKUP(K$14,$A$1:$D$8,$K$12,FALSE),(VLOOKUP(K$14,$A$1:$D$8,$K$12,FALSE)-VLOOKUP(J$14,$A$1:$D$8,$K$12,FALSE)+1)*K$14,(G15-VLOOKUP(J$14,$A$1:$D$8,$K$12,FALSE)+1)*K$14),0)</f>
        <v>0</v>
      </c>
      <c r="L15">
        <f t="shared" ref="L15:L20" si="3">IF(G15&gt;VLOOKUP(K$14,$A$1:$D$8,$K$12,FALSE),IF(G15&gt;VLOOKUP(L$14,$A$1:$D$8,$K$12,FALSE),(VLOOKUP(L$14,$A$1:$D$8,$K$12,FALSE)-VLOOKUP(K$14,$A$1:$D$8,$K$12,FALSE)+1)*L$14,(G15-VLOOKUP(K$14,$A$1:$D$8,$K$12,FALSE)+1)*L$14),0)</f>
        <v>0</v>
      </c>
      <c r="M15">
        <f t="shared" ref="M15:M20" si="4">IF(G15&gt;VLOOKUP(L$14,$A$1:$D$8,$K$12,FALSE),IF(G15&gt;VLOOKUP(M$14,$A$1:$D$8,$K$12,FALSE),(VLOOKUP(M$14,$A$1:$D$8,$K$12,FALSE)-VLOOKUP(L$14,$A$1:$D$8,$K$12,FALSE)+1)*M$14,(G15-VLOOKUP(L$14,$A$1:$D$8,$K$12,FALSE)+1)*M$14),0)</f>
        <v>0</v>
      </c>
      <c r="N15">
        <f t="shared" ref="N15:N20" si="5">IF(G15&gt;VLOOKUP(M$14,$A$1:$D$8,$K$12,FALSE),IF(G15&gt;VLOOKUP(N$14,$A$1:$D$8,$K$12,FALSE),(VLOOKUP(N$14,$A$1:$D$8,$K$12,FALSE)-VLOOKUP(M$14,$A$1:$D$8,$K$12,FALSE)+1)*N$14,(G15-VLOOKUP(M$14,$A$1:$D$8,$K$12,FALSE)+1)*N$14),0)</f>
        <v>0</v>
      </c>
      <c r="O15">
        <f t="shared" ref="O15:O20" si="6">SUM(H15:N15)</f>
        <v>7049.08</v>
      </c>
    </row>
    <row r="16" spans="1:15" x14ac:dyDescent="0.25">
      <c r="F16" t="s">
        <v>103</v>
      </c>
      <c r="G16" s="22">
        <f>'Salary Calculator'!D36</f>
        <v>89972.96</v>
      </c>
      <c r="H16">
        <f>IF(G16&gt;VLOOKUP($H$14,$A$1:$D$8,$K$12,FALSE),VLOOKUP($H$14,$A$1:D9,$K$12,FALSE)*$H$14,G16*$H$14)</f>
        <v>2200</v>
      </c>
      <c r="I16">
        <f t="shared" si="0"/>
        <v>8094.12</v>
      </c>
      <c r="J16">
        <f t="shared" si="1"/>
        <v>0.22</v>
      </c>
      <c r="K16">
        <f t="shared" si="2"/>
        <v>125.75040000000153</v>
      </c>
      <c r="L16">
        <f t="shared" si="3"/>
        <v>0</v>
      </c>
      <c r="M16">
        <f t="shared" si="4"/>
        <v>0</v>
      </c>
      <c r="N16">
        <f t="shared" si="5"/>
        <v>0</v>
      </c>
      <c r="O16">
        <f t="shared" si="6"/>
        <v>10420.090399999999</v>
      </c>
    </row>
    <row r="17" spans="6:15" x14ac:dyDescent="0.25">
      <c r="F17" t="s">
        <v>104</v>
      </c>
      <c r="G17" s="22">
        <f>'Salary Calculator'!E36</f>
        <v>117060</v>
      </c>
      <c r="H17">
        <f>IF(G17&gt;VLOOKUP($H$14,$A$1:$D$8,$K$12,FALSE),VLOOKUP($H$14,$A$1:D10,$K$12,FALSE)*$H$14,G17*$H$14)</f>
        <v>2200</v>
      </c>
      <c r="I17">
        <f t="shared" si="0"/>
        <v>8094.12</v>
      </c>
      <c r="J17">
        <f t="shared" si="1"/>
        <v>0.22</v>
      </c>
      <c r="K17">
        <f t="shared" si="2"/>
        <v>6626.6399999999994</v>
      </c>
      <c r="L17">
        <f t="shared" si="3"/>
        <v>0</v>
      </c>
      <c r="M17">
        <f t="shared" si="4"/>
        <v>0</v>
      </c>
      <c r="N17">
        <f t="shared" si="5"/>
        <v>0</v>
      </c>
      <c r="O17">
        <f t="shared" si="6"/>
        <v>16920.979999999996</v>
      </c>
    </row>
    <row r="18" spans="6:15" x14ac:dyDescent="0.25">
      <c r="F18" t="s">
        <v>81</v>
      </c>
      <c r="G18" s="22">
        <f>'Salary Calculator'!F36</f>
        <v>115750</v>
      </c>
      <c r="H18">
        <f>IF(G18&gt;VLOOKUP($H$14,$A$1:$D$8,$K$12,FALSE),VLOOKUP($H$14,$A$1:D11,$K$12,FALSE)*$H$14,G18*$H$14)</f>
        <v>2200</v>
      </c>
      <c r="I18">
        <f t="shared" si="0"/>
        <v>8094.12</v>
      </c>
      <c r="J18">
        <f t="shared" si="1"/>
        <v>0.22</v>
      </c>
      <c r="K18">
        <f t="shared" si="2"/>
        <v>6312.24</v>
      </c>
      <c r="L18">
        <f t="shared" si="3"/>
        <v>0</v>
      </c>
      <c r="M18">
        <f t="shared" si="4"/>
        <v>0</v>
      </c>
      <c r="N18">
        <f t="shared" si="5"/>
        <v>0</v>
      </c>
      <c r="O18">
        <f t="shared" si="6"/>
        <v>16606.579999999998</v>
      </c>
    </row>
    <row r="19" spans="6:15" x14ac:dyDescent="0.25">
      <c r="F19" t="s">
        <v>147</v>
      </c>
      <c r="G19" s="22">
        <f>Information!B44</f>
        <v>90108</v>
      </c>
      <c r="H19">
        <f>IF(G19&gt;VLOOKUP($H$14,$A$1:$D$8,$K$12,FALSE),VLOOKUP($H$14,$A$1:D12,$K$12,FALSE)*$H$14,G19*$H$14)</f>
        <v>2200</v>
      </c>
      <c r="I19">
        <f t="shared" si="0"/>
        <v>8094.12</v>
      </c>
      <c r="J19">
        <f t="shared" si="1"/>
        <v>0.22</v>
      </c>
      <c r="K19">
        <f t="shared" si="2"/>
        <v>158.16</v>
      </c>
      <c r="L19">
        <f t="shared" si="3"/>
        <v>0</v>
      </c>
      <c r="M19">
        <f t="shared" si="4"/>
        <v>0</v>
      </c>
      <c r="N19">
        <f t="shared" si="5"/>
        <v>0</v>
      </c>
      <c r="O19">
        <f t="shared" si="6"/>
        <v>10452.499999999998</v>
      </c>
    </row>
    <row r="20" spans="6:15" x14ac:dyDescent="0.25">
      <c r="F20" t="s">
        <v>148</v>
      </c>
      <c r="G20" s="22">
        <f ca="1">Information!C44</f>
        <v>254371.19486486484</v>
      </c>
      <c r="H20">
        <f ca="1">IF(G20&gt;VLOOKUP($H$14,$A$1:$D$8,$K$12,FALSE),VLOOKUP($H$14,$A$1:D13,$K$12,FALSE)*$H$14,G20*$H$14)</f>
        <v>2200</v>
      </c>
      <c r="I20">
        <f t="shared" ca="1" si="0"/>
        <v>8094.12</v>
      </c>
      <c r="J20">
        <f t="shared" ca="1" si="1"/>
        <v>0.22</v>
      </c>
      <c r="K20">
        <f t="shared" ca="1" si="2"/>
        <v>39581.32676756756</v>
      </c>
      <c r="L20">
        <f t="shared" ca="1" si="3"/>
        <v>0</v>
      </c>
      <c r="M20">
        <f t="shared" ca="1" si="4"/>
        <v>0</v>
      </c>
      <c r="N20">
        <f t="shared" ca="1" si="5"/>
        <v>0</v>
      </c>
      <c r="O20">
        <f t="shared" ca="1" si="6"/>
        <v>49875.666767567556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3C2C3-7577-4F1E-88EF-3D136E7FF800}">
  <sheetPr codeName="Sheet4"/>
  <dimension ref="A1:P7"/>
  <sheetViews>
    <sheetView workbookViewId="0">
      <selection activeCell="L6" sqref="L6"/>
    </sheetView>
  </sheetViews>
  <sheetFormatPr defaultRowHeight="15" x14ac:dyDescent="0.25"/>
  <cols>
    <col min="1" max="1" width="18.28515625" bestFit="1" customWidth="1"/>
    <col min="2" max="2" width="18.28515625" customWidth="1"/>
    <col min="3" max="6" width="9.28515625" bestFit="1" customWidth="1"/>
    <col min="7" max="12" width="10.5703125" bestFit="1" customWidth="1"/>
  </cols>
  <sheetData>
    <row r="1" spans="1:16" x14ac:dyDescent="0.25">
      <c r="A1" s="79" t="s">
        <v>86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"/>
      <c r="N1" s="7"/>
      <c r="O1" s="7"/>
      <c r="P1" s="7"/>
    </row>
    <row r="2" spans="1:16" x14ac:dyDescent="0.25">
      <c r="A2" t="s">
        <v>8</v>
      </c>
      <c r="B2">
        <v>0</v>
      </c>
      <c r="C2">
        <v>10</v>
      </c>
      <c r="D2">
        <v>20</v>
      </c>
      <c r="E2">
        <v>30</v>
      </c>
      <c r="F2">
        <v>40</v>
      </c>
      <c r="G2">
        <v>50</v>
      </c>
      <c r="H2">
        <v>60</v>
      </c>
      <c r="I2">
        <v>70</v>
      </c>
      <c r="J2">
        <v>80</v>
      </c>
      <c r="K2">
        <v>90</v>
      </c>
      <c r="L2">
        <v>100</v>
      </c>
    </row>
    <row r="3" spans="1:16" x14ac:dyDescent="0.25">
      <c r="A3" t="s">
        <v>4</v>
      </c>
      <c r="B3">
        <v>0</v>
      </c>
      <c r="C3">
        <v>171.23</v>
      </c>
      <c r="D3">
        <v>338.49</v>
      </c>
      <c r="E3">
        <v>524.30999999999995</v>
      </c>
      <c r="F3">
        <v>755.28</v>
      </c>
      <c r="G3">
        <v>1075.1600000000001</v>
      </c>
      <c r="H3">
        <v>1361.88</v>
      </c>
      <c r="I3">
        <v>1716.28</v>
      </c>
      <c r="J3">
        <v>1995.01</v>
      </c>
      <c r="K3">
        <v>2241.91</v>
      </c>
      <c r="L3">
        <v>3737.85</v>
      </c>
    </row>
    <row r="4" spans="1:16" x14ac:dyDescent="0.25">
      <c r="A4" t="s">
        <v>5</v>
      </c>
      <c r="B4">
        <v>0</v>
      </c>
      <c r="C4">
        <v>171.23</v>
      </c>
      <c r="D4">
        <v>338.49</v>
      </c>
      <c r="E4">
        <v>586.30999999999995</v>
      </c>
      <c r="F4">
        <v>838.28</v>
      </c>
      <c r="G4">
        <v>1179.1600000000001</v>
      </c>
      <c r="H4">
        <v>1486.88</v>
      </c>
      <c r="I4">
        <v>18161.28</v>
      </c>
      <c r="J4">
        <v>2161.0100000000002</v>
      </c>
      <c r="K4">
        <v>2428.91</v>
      </c>
      <c r="L4">
        <v>3946.25</v>
      </c>
    </row>
    <row r="5" spans="1:16" x14ac:dyDescent="0.25">
      <c r="A5" t="s">
        <v>65</v>
      </c>
      <c r="B5">
        <v>0</v>
      </c>
      <c r="C5">
        <v>171.23</v>
      </c>
      <c r="D5">
        <v>338.49</v>
      </c>
      <c r="E5">
        <v>632.30999999999995</v>
      </c>
      <c r="F5">
        <v>899.28</v>
      </c>
      <c r="G5">
        <v>1255.1600000000001</v>
      </c>
      <c r="H5">
        <v>1577.88</v>
      </c>
      <c r="I5">
        <v>1968.28</v>
      </c>
      <c r="J5">
        <v>2283.0100000000002</v>
      </c>
      <c r="K5">
        <v>2565.91</v>
      </c>
      <c r="L5">
        <v>4098.87</v>
      </c>
    </row>
    <row r="6" spans="1:16" x14ac:dyDescent="0.25">
      <c r="A6" t="s">
        <v>6</v>
      </c>
      <c r="B6">
        <v>0</v>
      </c>
      <c r="C6">
        <v>171.23</v>
      </c>
      <c r="D6">
        <v>338.49</v>
      </c>
      <c r="E6">
        <v>565.30999999999995</v>
      </c>
      <c r="F6">
        <v>810.28</v>
      </c>
      <c r="G6">
        <v>1144.1600000000001</v>
      </c>
      <c r="H6">
        <v>1444.88</v>
      </c>
      <c r="I6">
        <v>18113.28</v>
      </c>
      <c r="J6">
        <v>2106.0100000000002</v>
      </c>
      <c r="K6">
        <v>2366.91</v>
      </c>
      <c r="L6">
        <v>3877.22</v>
      </c>
    </row>
    <row r="7" spans="1:16" x14ac:dyDescent="0.25">
      <c r="A7" t="s">
        <v>7</v>
      </c>
      <c r="B7">
        <v>0</v>
      </c>
      <c r="C7">
        <v>171.23</v>
      </c>
      <c r="D7">
        <v>338.49</v>
      </c>
      <c r="E7">
        <v>31</v>
      </c>
      <c r="F7">
        <v>41</v>
      </c>
      <c r="G7">
        <v>51</v>
      </c>
      <c r="H7">
        <v>62</v>
      </c>
      <c r="I7">
        <v>72</v>
      </c>
      <c r="J7">
        <v>82</v>
      </c>
      <c r="K7">
        <v>93</v>
      </c>
      <c r="L7">
        <v>103.55</v>
      </c>
    </row>
  </sheetData>
  <mergeCells count="1">
    <mergeCell ref="A1:L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9F3A1-CA4A-40CA-866B-18A7C45EF1A9}">
  <sheetPr codeName="Sheet1">
    <tabColor rgb="FFFFC000"/>
  </sheetPr>
  <dimension ref="A1:F13"/>
  <sheetViews>
    <sheetView workbookViewId="0">
      <selection activeCell="C29" sqref="C29"/>
    </sheetView>
  </sheetViews>
  <sheetFormatPr defaultRowHeight="15" x14ac:dyDescent="0.25"/>
  <cols>
    <col min="1" max="1" width="36.5703125" bestFit="1" customWidth="1"/>
    <col min="2" max="2" width="18.28515625" bestFit="1" customWidth="1"/>
    <col min="4" max="4" width="25.140625" bestFit="1" customWidth="1"/>
    <col min="5" max="5" width="3.7109375" customWidth="1"/>
    <col min="6" max="6" width="10.5703125" bestFit="1" customWidth="1"/>
    <col min="8" max="8" width="15.28515625" bestFit="1" customWidth="1"/>
  </cols>
  <sheetData>
    <row r="1" spans="1:6" x14ac:dyDescent="0.25">
      <c r="A1" s="79" t="s">
        <v>83</v>
      </c>
      <c r="B1" s="79"/>
      <c r="D1" s="79" t="s">
        <v>32</v>
      </c>
      <c r="E1" s="79"/>
      <c r="F1" s="79"/>
    </row>
    <row r="2" spans="1:6" x14ac:dyDescent="0.25">
      <c r="A2" s="6" t="s">
        <v>13</v>
      </c>
      <c r="B2" s="35">
        <f>Information!E4</f>
        <v>36526</v>
      </c>
      <c r="D2" s="6" t="s">
        <v>18</v>
      </c>
      <c r="E2" s="83" t="s">
        <v>24</v>
      </c>
      <c r="F2" s="2">
        <f>'Retirement Pay Calculations'!J5</f>
        <v>0.52500000000000002</v>
      </c>
    </row>
    <row r="3" spans="1:6" ht="15.75" thickBot="1" x14ac:dyDescent="0.3">
      <c r="A3" s="6" t="s">
        <v>14</v>
      </c>
      <c r="B3" s="35">
        <f>Information!E5</f>
        <v>44197</v>
      </c>
      <c r="D3" s="6" t="s">
        <v>19</v>
      </c>
      <c r="E3" s="84"/>
      <c r="F3" s="3">
        <f ca="1">'Retirement Pay Calculations'!K5</f>
        <v>6725.5864864864834</v>
      </c>
    </row>
    <row r="4" spans="1:6" x14ac:dyDescent="0.25">
      <c r="A4" s="6" t="s">
        <v>9</v>
      </c>
      <c r="B4" s="6" t="str">
        <f>Information!E16</f>
        <v>Married with Child</v>
      </c>
      <c r="D4" s="10" t="s">
        <v>20</v>
      </c>
      <c r="E4" s="85" t="s">
        <v>26</v>
      </c>
      <c r="F4" s="9">
        <f ca="1">'Retirement Pay Calculations'!L5</f>
        <v>3530.9329054054037</v>
      </c>
    </row>
    <row r="5" spans="1:6" ht="15.75" thickBot="1" x14ac:dyDescent="0.3">
      <c r="A5" s="6" t="s">
        <v>15</v>
      </c>
      <c r="B5" s="6">
        <f>Information!E17</f>
        <v>2</v>
      </c>
      <c r="D5" s="6" t="s">
        <v>25</v>
      </c>
      <c r="E5" s="86"/>
      <c r="F5" s="4">
        <f>IF(B6&lt;50,F12,0)</f>
        <v>0</v>
      </c>
    </row>
    <row r="6" spans="1:6" x14ac:dyDescent="0.25">
      <c r="A6" s="6" t="s">
        <v>8</v>
      </c>
      <c r="B6" s="6">
        <f>Information!E15</f>
        <v>80</v>
      </c>
      <c r="D6" s="10" t="s">
        <v>28</v>
      </c>
      <c r="E6" s="81" t="s">
        <v>26</v>
      </c>
      <c r="F6" s="9">
        <f ca="1">F4-F5</f>
        <v>3530.9329054054037</v>
      </c>
    </row>
    <row r="7" spans="1:6" ht="15.75" thickBot="1" x14ac:dyDescent="0.3">
      <c r="A7" s="6" t="s">
        <v>16</v>
      </c>
      <c r="B7" s="60">
        <f>Information!E12</f>
        <v>7.0999999999999994E-2</v>
      </c>
      <c r="D7" s="6" t="s">
        <v>23</v>
      </c>
      <c r="E7" s="82"/>
      <c r="F7" s="3">
        <f ca="1">'Retirement Pay Calculations'!O5</f>
        <v>229.51063885135125</v>
      </c>
    </row>
    <row r="8" spans="1:6" x14ac:dyDescent="0.25">
      <c r="A8" s="6" t="s">
        <v>60</v>
      </c>
      <c r="B8" s="6" t="str">
        <f>Information!E3</f>
        <v>W-4</v>
      </c>
      <c r="D8" s="10" t="s">
        <v>29</v>
      </c>
      <c r="E8" s="87" t="s">
        <v>26</v>
      </c>
      <c r="F8" s="9">
        <f ca="1">F6-F7</f>
        <v>3301.4222665540524</v>
      </c>
    </row>
    <row r="9" spans="1:6" x14ac:dyDescent="0.25">
      <c r="A9" s="6" t="s">
        <v>57</v>
      </c>
      <c r="B9" s="35">
        <f>Information!E11</f>
        <v>43466</v>
      </c>
      <c r="D9" s="6" t="s">
        <v>22</v>
      </c>
      <c r="E9" s="83"/>
      <c r="F9" s="22">
        <f ca="1">((Information!C62/Information!C44)*'Retirment Pay Summary'!F8)+(F8*Information!E12)</f>
        <v>881.72520689814792</v>
      </c>
    </row>
    <row r="10" spans="1:6" ht="15.75" thickBot="1" x14ac:dyDescent="0.3">
      <c r="A10" s="6" t="s">
        <v>129</v>
      </c>
      <c r="B10" s="35" t="str">
        <f>Information!E13</f>
        <v>Yes</v>
      </c>
      <c r="D10" s="6" t="s">
        <v>82</v>
      </c>
      <c r="E10" s="84"/>
      <c r="F10" s="3">
        <f ca="1">F8*(0.0145+0.062)</f>
        <v>252.558803391385</v>
      </c>
    </row>
    <row r="11" spans="1:6" x14ac:dyDescent="0.25">
      <c r="D11" s="10" t="s">
        <v>27</v>
      </c>
      <c r="E11" s="81" t="s">
        <v>30</v>
      </c>
      <c r="F11" s="23">
        <f ca="1">F8-F9-F10</f>
        <v>2167.1382562645194</v>
      </c>
    </row>
    <row r="12" spans="1:6" ht="15.75" thickBot="1" x14ac:dyDescent="0.3">
      <c r="D12" s="8" t="s">
        <v>21</v>
      </c>
      <c r="E12" s="82"/>
      <c r="F12" s="3">
        <f>'Retirement Pay Calculations'!M5</f>
        <v>2365.0100000000002</v>
      </c>
    </row>
    <row r="13" spans="1:6" x14ac:dyDescent="0.25">
      <c r="D13" s="7" t="s">
        <v>31</v>
      </c>
      <c r="F13" s="5">
        <f ca="1">F11+F12</f>
        <v>4532.1482562645197</v>
      </c>
    </row>
  </sheetData>
  <mergeCells count="7">
    <mergeCell ref="A1:B1"/>
    <mergeCell ref="E11:E12"/>
    <mergeCell ref="D1:F1"/>
    <mergeCell ref="E2:E3"/>
    <mergeCell ref="E4:E5"/>
    <mergeCell ref="E6:E7"/>
    <mergeCell ref="E8:E10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6BBBFC6-FFAB-4B7A-BBE1-D73F9714A2B0}">
          <x14:formula1>
            <xm:f>'Disability Payment'!$A$3:$A$7</xm:f>
          </x14:formula1>
          <xm:sqref>B4</xm:sqref>
        </x14:dataValidation>
        <x14:dataValidation type="list" allowBlank="1" showInputMessage="1" showErrorMessage="1" xr:uid="{707BD3D2-EADA-4195-B83B-0031E2A00AF2}">
          <x14:formula1>
            <xm:f>'2019 Pay Chart'!$A$2:$A$25</xm:f>
          </x14:formula1>
          <xm:sqref>B8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DDA05-C5BD-4608-BD7E-B553F7917E38}">
  <sheetPr>
    <tabColor rgb="FF0070C0"/>
  </sheetPr>
  <dimension ref="A1:W25"/>
  <sheetViews>
    <sheetView tabSelected="1" workbookViewId="0">
      <selection activeCell="G27" sqref="G27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76">
        <f>'2024 Pay Chart'!B2*1.03</f>
        <v>19212.59</v>
      </c>
      <c r="C2" s="76">
        <f>'2024 Pay Chart'!C2*1.03</f>
        <v>19212.59</v>
      </c>
      <c r="D2" s="76">
        <f>'2024 Pay Chart'!D2*1.03</f>
        <v>19212.59</v>
      </c>
      <c r="E2" s="76">
        <f>'2024 Pay Chart'!E2*1.03</f>
        <v>19212.59</v>
      </c>
      <c r="F2" s="76">
        <f>'2024 Pay Chart'!F2*1.03</f>
        <v>19212.59</v>
      </c>
      <c r="G2" s="76">
        <f>'2024 Pay Chart'!G2*1.03</f>
        <v>19212.59</v>
      </c>
      <c r="H2" s="76">
        <f>'2024 Pay Chart'!H2*1.03</f>
        <v>19212.59</v>
      </c>
      <c r="I2" s="76">
        <f>'2024 Pay Chart'!I2*1.03</f>
        <v>19212.59</v>
      </c>
      <c r="J2" s="76">
        <f>'2024 Pay Chart'!J2*1.03</f>
        <v>19212.59</v>
      </c>
      <c r="K2" s="76">
        <f>'2024 Pay Chart'!K2*1.03</f>
        <v>19212.59</v>
      </c>
      <c r="L2" s="76">
        <f>'2024 Pay Chart'!L2*1.03</f>
        <v>19212.59</v>
      </c>
      <c r="M2" s="76">
        <f>'2024 Pay Chart'!M2*1.03</f>
        <v>19212.59</v>
      </c>
      <c r="N2" s="76">
        <f>'2024 Pay Chart'!N2*1.03</f>
        <v>19212.59</v>
      </c>
      <c r="O2" s="76">
        <f>'2024 Pay Chart'!O2*1.03</f>
        <v>19212.59</v>
      </c>
      <c r="P2" s="76">
        <f>'2024 Pay Chart'!P2*1.03</f>
        <v>19212.59</v>
      </c>
      <c r="Q2" s="76">
        <f>'2024 Pay Chart'!Q2*1.03</f>
        <v>19212.59</v>
      </c>
      <c r="R2" s="76">
        <f>'2024 Pay Chart'!R2*1.03</f>
        <v>19212.59</v>
      </c>
      <c r="S2" s="76">
        <f>'2024 Pay Chart'!S2*1.03</f>
        <v>19212.59</v>
      </c>
      <c r="T2" s="76">
        <f>'2024 Pay Chart'!T2*1.03</f>
        <v>19212.59</v>
      </c>
      <c r="U2" s="76">
        <f>'2024 Pay Chart'!U2*1.03</f>
        <v>19212.59</v>
      </c>
      <c r="V2" s="76">
        <f>'2024 Pay Chart'!V2*1.03</f>
        <v>19212.59</v>
      </c>
      <c r="W2" s="76">
        <f>'2024 Pay Chart'!W2*1.03</f>
        <v>19212.59</v>
      </c>
    </row>
    <row r="3" spans="1:23" ht="15.75" thickBot="1" x14ac:dyDescent="0.3">
      <c r="A3" s="11" t="s">
        <v>49</v>
      </c>
      <c r="B3" s="76">
        <f>'2024 Pay Chart'!B3*1.03</f>
        <v>18078.560000000001</v>
      </c>
      <c r="C3" s="76">
        <f>'2024 Pay Chart'!C3*1.03</f>
        <v>18078.560000000001</v>
      </c>
      <c r="D3" s="76">
        <f>'2024 Pay Chart'!D3*1.03</f>
        <v>18078.560000000001</v>
      </c>
      <c r="E3" s="76">
        <f>'2024 Pay Chart'!E3*1.03</f>
        <v>18078.560000000001</v>
      </c>
      <c r="F3" s="76">
        <f>'2024 Pay Chart'!F3*1.03</f>
        <v>18078.560000000001</v>
      </c>
      <c r="G3" s="76">
        <f>'2024 Pay Chart'!G3*1.03</f>
        <v>18078.560000000001</v>
      </c>
      <c r="H3" s="76">
        <f>'2024 Pay Chart'!H3*1.03</f>
        <v>18078.560000000001</v>
      </c>
      <c r="I3" s="76">
        <f>'2024 Pay Chart'!I3*1.03</f>
        <v>18078.560000000001</v>
      </c>
      <c r="J3" s="76">
        <f>'2024 Pay Chart'!J3*1.03</f>
        <v>18078.560000000001</v>
      </c>
      <c r="K3" s="76">
        <f>'2024 Pay Chart'!K3*1.03</f>
        <v>18078.560000000001</v>
      </c>
      <c r="L3" s="76">
        <f>'2024 Pay Chart'!L3*1.03</f>
        <v>18078.560000000001</v>
      </c>
      <c r="M3" s="76">
        <f>'2024 Pay Chart'!M3*1.03</f>
        <v>18078.560000000001</v>
      </c>
      <c r="N3" s="76">
        <f>'2024 Pay Chart'!N3*1.03</f>
        <v>18339.150000000001</v>
      </c>
      <c r="O3" s="76">
        <f>'2024 Pay Chart'!O3*1.03</f>
        <v>18715.100000000002</v>
      </c>
      <c r="P3" s="76">
        <f>'2024 Pay Chart'!P3*1.03</f>
        <v>19212.59</v>
      </c>
      <c r="Q3" s="76">
        <f>'2024 Pay Chart'!Q3*1.03</f>
        <v>19212.59</v>
      </c>
      <c r="R3" s="76">
        <f>'2024 Pay Chart'!R3*1.03</f>
        <v>19212.59</v>
      </c>
      <c r="S3" s="76">
        <f>'2024 Pay Chart'!S3*1.03</f>
        <v>19212.59</v>
      </c>
      <c r="T3" s="76">
        <f>'2024 Pay Chart'!T3*1.03</f>
        <v>19212.59</v>
      </c>
      <c r="U3" s="76">
        <f>'2024 Pay Chart'!U3*1.03</f>
        <v>19212.59</v>
      </c>
      <c r="V3" s="76">
        <f>'2024 Pay Chart'!V3*1.03</f>
        <v>19212.59</v>
      </c>
      <c r="W3" s="76">
        <f>'2024 Pay Chart'!W3*1.03</f>
        <v>19212.59</v>
      </c>
    </row>
    <row r="4" spans="1:23" ht="15.75" thickBot="1" x14ac:dyDescent="0.3">
      <c r="A4" s="11" t="s">
        <v>50</v>
      </c>
      <c r="B4" s="76">
        <f>'2024 Pay Chart'!B4*1.03</f>
        <v>13188.12</v>
      </c>
      <c r="C4" s="76">
        <f>'2024 Pay Chart'!C4*1.03</f>
        <v>13619.69</v>
      </c>
      <c r="D4" s="76">
        <f>'2024 Pay Chart'!D4*1.03</f>
        <v>13907.06</v>
      </c>
      <c r="E4" s="76">
        <f>'2024 Pay Chart'!E4*1.03</f>
        <v>13986.37</v>
      </c>
      <c r="F4" s="76">
        <f>'2024 Pay Chart'!F4*1.03</f>
        <v>14344.81</v>
      </c>
      <c r="G4" s="76">
        <f>'2024 Pay Chart'!G4*1.03</f>
        <v>14942.210000000001</v>
      </c>
      <c r="H4" s="76">
        <f>'2024 Pay Chart'!H4*1.03</f>
        <v>15081.26</v>
      </c>
      <c r="I4" s="76">
        <f>'2024 Pay Chart'!I4*1.03</f>
        <v>15648.79</v>
      </c>
      <c r="J4" s="76">
        <f>'2024 Pay Chart'!J4*1.03</f>
        <v>15811.53</v>
      </c>
      <c r="K4" s="76">
        <f>'2024 Pay Chart'!K4*1.03</f>
        <v>16300.78</v>
      </c>
      <c r="L4" s="76">
        <f>'2024 Pay Chart'!L4*1.03</f>
        <v>17008.39</v>
      </c>
      <c r="M4" s="76">
        <f>'2024 Pay Chart'!M4*1.03</f>
        <v>17660.38</v>
      </c>
      <c r="N4" s="76">
        <f>'2024 Pay Chart'!N4*1.03</f>
        <v>18096.07</v>
      </c>
      <c r="O4" s="76">
        <f>'2024 Pay Chart'!O4*1.03</f>
        <v>18096.07</v>
      </c>
      <c r="P4" s="76">
        <f>'2024 Pay Chart'!P4*1.03</f>
        <v>18096.07</v>
      </c>
      <c r="Q4" s="76">
        <f>'2024 Pay Chart'!Q4*1.03</f>
        <v>18096.07</v>
      </c>
      <c r="R4" s="76">
        <f>'2024 Pay Chart'!R4*1.03</f>
        <v>18549.27</v>
      </c>
      <c r="S4" s="76">
        <f>'2024 Pay Chart'!S4*1.03</f>
        <v>18549.27</v>
      </c>
      <c r="T4" s="76">
        <f>'2024 Pay Chart'!T4*1.03</f>
        <v>19011.740000000002</v>
      </c>
      <c r="U4" s="76">
        <f>'2024 Pay Chart'!U4*1.03</f>
        <v>19011.740000000002</v>
      </c>
      <c r="V4" s="76">
        <f>'2024 Pay Chart'!V4*1.03</f>
        <v>19011.740000000002</v>
      </c>
      <c r="W4" s="76">
        <f>'2024 Pay Chart'!W4*1.03</f>
        <v>19011.740000000002</v>
      </c>
    </row>
    <row r="5" spans="1:23" ht="15.75" thickBot="1" x14ac:dyDescent="0.3">
      <c r="A5" s="11" t="s">
        <v>51</v>
      </c>
      <c r="B5" s="76">
        <f>'2024 Pay Chart'!B5*1.03</f>
        <v>10958.17</v>
      </c>
      <c r="C5" s="76">
        <f>'2024 Pay Chart'!C5*1.03</f>
        <v>11466.99</v>
      </c>
      <c r="D5" s="76">
        <f>'2024 Pay Chart'!D5*1.03</f>
        <v>11702.86</v>
      </c>
      <c r="E5" s="76">
        <f>'2024 Pay Chart'!E5*1.03</f>
        <v>11890.32</v>
      </c>
      <c r="F5" s="76">
        <f>'2024 Pay Chart'!F5*1.03</f>
        <v>12229.19</v>
      </c>
      <c r="G5" s="76">
        <f>'2024 Pay Chart'!G5*1.03</f>
        <v>12563.94</v>
      </c>
      <c r="H5" s="76">
        <f>'2024 Pay Chart'!H5*1.03</f>
        <v>12951.220000000001</v>
      </c>
      <c r="I5" s="76">
        <f>'2024 Pay Chart'!I5*1.03</f>
        <v>13337.470000000001</v>
      </c>
      <c r="J5" s="76">
        <f>'2024 Pay Chart'!J5*1.03</f>
        <v>13724.75</v>
      </c>
      <c r="K5" s="76">
        <f>'2024 Pay Chart'!K5*1.03</f>
        <v>14942.210000000001</v>
      </c>
      <c r="L5" s="76">
        <f>'2024 Pay Chart'!L5*1.03</f>
        <v>15969.12</v>
      </c>
      <c r="M5" s="76">
        <f>'2024 Pay Chart'!M5*1.03</f>
        <v>15969.12</v>
      </c>
      <c r="N5" s="76">
        <f>'2024 Pay Chart'!N5*1.03</f>
        <v>15969.12</v>
      </c>
      <c r="O5" s="76">
        <f>'2024 Pay Chart'!O5*1.03</f>
        <v>15969.12</v>
      </c>
      <c r="P5" s="76">
        <f>'2024 Pay Chart'!P5*1.03</f>
        <v>16051.52</v>
      </c>
      <c r="Q5" s="76">
        <f>'2024 Pay Chart'!Q5*1.03</f>
        <v>16051.52</v>
      </c>
      <c r="R5" s="76">
        <f>'2024 Pay Chart'!R5*1.03</f>
        <v>16372.880000000001</v>
      </c>
      <c r="S5" s="76">
        <f>'2024 Pay Chart'!S5*1.03</f>
        <v>16372.880000000001</v>
      </c>
      <c r="T5" s="76">
        <f>'2024 Pay Chart'!T5*1.03</f>
        <v>16372.880000000001</v>
      </c>
      <c r="U5" s="76">
        <f>'2024 Pay Chart'!U5*1.03</f>
        <v>16372.880000000001</v>
      </c>
      <c r="V5" s="76">
        <f>'2024 Pay Chart'!V5*1.03</f>
        <v>16372.880000000001</v>
      </c>
      <c r="W5" s="76">
        <f>'2024 Pay Chart'!W5*1.03</f>
        <v>16372.880000000001</v>
      </c>
    </row>
    <row r="6" spans="1:23" ht="15.75" thickBot="1" x14ac:dyDescent="0.3">
      <c r="A6" s="11" t="s">
        <v>52</v>
      </c>
      <c r="B6" s="76">
        <f>'2024 Pay Chart'!B6*1.03</f>
        <v>8310.0400000000009</v>
      </c>
      <c r="C6" s="76">
        <f>'2024 Pay Chart'!C6*1.03</f>
        <v>9129.92</v>
      </c>
      <c r="D6" s="76">
        <f>'2024 Pay Chart'!D6*1.03</f>
        <v>9728.35</v>
      </c>
      <c r="E6" s="76">
        <f>'2024 Pay Chart'!E6*1.03</f>
        <v>9728.35</v>
      </c>
      <c r="F6" s="76">
        <f>'2024 Pay Chart'!F6*1.03</f>
        <v>9765.43</v>
      </c>
      <c r="G6" s="76">
        <f>'2024 Pay Chart'!G6*1.03</f>
        <v>10184.64</v>
      </c>
      <c r="H6" s="76">
        <f>'2024 Pay Chart'!H6*1.03</f>
        <v>10239.23</v>
      </c>
      <c r="I6" s="76">
        <f>'2024 Pay Chart'!I6*1.03</f>
        <v>10239.23</v>
      </c>
      <c r="J6" s="76">
        <f>'2024 Pay Chart'!J6*1.03</f>
        <v>10821.18</v>
      </c>
      <c r="K6" s="76">
        <f>'2024 Pay Chart'!K6*1.03</f>
        <v>11850.15</v>
      </c>
      <c r="L6" s="76">
        <f>'2024 Pay Chart'!L6*1.03</f>
        <v>12453.73</v>
      </c>
      <c r="M6" s="76">
        <f>'2024 Pay Chart'!M6*1.03</f>
        <v>13057.31</v>
      </c>
      <c r="N6" s="76">
        <f>'2024 Pay Chart'!N6*1.03</f>
        <v>13401.33</v>
      </c>
      <c r="O6" s="76">
        <f>'2024 Pay Chart'!O6*1.03</f>
        <v>13749.470000000001</v>
      </c>
      <c r="P6" s="76">
        <f>'2024 Pay Chart'!P6*1.03</f>
        <v>14423.09</v>
      </c>
      <c r="Q6" s="76">
        <f>'2024 Pay Chart'!Q6*1.03</f>
        <v>14423.09</v>
      </c>
      <c r="R6" s="76">
        <f>'2024 Pay Chart'!R6*1.03</f>
        <v>14711.49</v>
      </c>
      <c r="S6" s="76">
        <f>'2024 Pay Chart'!S6*1.03</f>
        <v>14711.49</v>
      </c>
      <c r="T6" s="76">
        <f>'2024 Pay Chart'!T6*1.03</f>
        <v>14711.49</v>
      </c>
      <c r="U6" s="76">
        <f>'2024 Pay Chart'!U6*1.03</f>
        <v>14711.49</v>
      </c>
      <c r="V6" s="76">
        <f>'2024 Pay Chart'!V6*1.03</f>
        <v>14711.49</v>
      </c>
      <c r="W6" s="76">
        <f>'2024 Pay Chart'!W6*1.03</f>
        <v>14711.49</v>
      </c>
    </row>
    <row r="7" spans="1:23" ht="15.75" thickBot="1" x14ac:dyDescent="0.3">
      <c r="A7" s="11" t="s">
        <v>33</v>
      </c>
      <c r="B7" s="76">
        <f>'2024 Pay Chart'!B7*1.03</f>
        <v>6927.78</v>
      </c>
      <c r="C7" s="76">
        <f>'2024 Pay Chart'!C7*1.03</f>
        <v>7804.31</v>
      </c>
      <c r="D7" s="76">
        <f>'2024 Pay Chart'!D7*1.03</f>
        <v>8344.0300000000007</v>
      </c>
      <c r="E7" s="76">
        <f>'2024 Pay Chart'!E7*1.03</f>
        <v>8446</v>
      </c>
      <c r="F7" s="76">
        <f>'2024 Pay Chart'!F7*1.03</f>
        <v>8782.81</v>
      </c>
      <c r="G7" s="76">
        <f>'2024 Pay Chart'!G7*1.03</f>
        <v>8984.69</v>
      </c>
      <c r="H7" s="76">
        <f>'2024 Pay Chart'!H7*1.03</f>
        <v>9427.59</v>
      </c>
      <c r="I7" s="76">
        <f>'2024 Pay Chart'!I7*1.03</f>
        <v>9754.1</v>
      </c>
      <c r="J7" s="76">
        <f>'2024 Pay Chart'!J7*1.03</f>
        <v>10174.34</v>
      </c>
      <c r="K7" s="76">
        <f>'2024 Pay Chart'!K7*1.03</f>
        <v>10817.06</v>
      </c>
      <c r="L7" s="76">
        <f>'2024 Pay Chart'!L7*1.03</f>
        <v>11122.970000000001</v>
      </c>
      <c r="M7" s="76">
        <f>'2024 Pay Chart'!M7*1.03</f>
        <v>11425.79</v>
      </c>
      <c r="N7" s="76">
        <f>'2024 Pay Chart'!N7*1.03</f>
        <v>11769.81</v>
      </c>
      <c r="O7" s="76">
        <f>'2024 Pay Chart'!O7*1.03</f>
        <v>11769.81</v>
      </c>
      <c r="P7" s="76">
        <f>'2024 Pay Chart'!P7*1.03</f>
        <v>11769.81</v>
      </c>
      <c r="Q7" s="76">
        <f>'2024 Pay Chart'!Q7*1.03</f>
        <v>11769.81</v>
      </c>
      <c r="R7" s="76">
        <f>'2024 Pay Chart'!R7*1.03</f>
        <v>11461.84</v>
      </c>
      <c r="S7" s="76">
        <f>'2024 Pay Chart'!S7*1.03</f>
        <v>11461.84</v>
      </c>
      <c r="T7" s="76">
        <f>'2024 Pay Chart'!T7*1.03</f>
        <v>12034.52</v>
      </c>
      <c r="U7" s="76">
        <f>'2024 Pay Chart'!U7*1.03</f>
        <v>12034.52</v>
      </c>
      <c r="V7" s="76">
        <f>'2024 Pay Chart'!V7*1.03</f>
        <v>12637.07</v>
      </c>
      <c r="W7" s="76">
        <f>'2024 Pay Chart'!W7*1.03</f>
        <v>12637.07</v>
      </c>
    </row>
    <row r="8" spans="1:23" ht="15.75" thickBot="1" x14ac:dyDescent="0.3">
      <c r="A8" s="11" t="s">
        <v>34</v>
      </c>
      <c r="B8" s="76">
        <f>'2024 Pay Chart'!B8*1.03</f>
        <v>5977.09</v>
      </c>
      <c r="C8" s="76">
        <f>'2024 Pay Chart'!C8*1.03</f>
        <v>6918.51</v>
      </c>
      <c r="D8" s="76">
        <f>'2024 Pay Chart'!D8*1.03</f>
        <v>7380.9800000000005</v>
      </c>
      <c r="E8" s="76">
        <f>'2024 Pay Chart'!E8*1.03</f>
        <v>7482.95</v>
      </c>
      <c r="F8" s="76">
        <f>'2024 Pay Chart'!F8*1.03</f>
        <v>7912.46</v>
      </c>
      <c r="G8" s="76">
        <f>'2024 Pay Chart'!G8*1.03</f>
        <v>8371.84</v>
      </c>
      <c r="H8" s="76">
        <f>'2024 Pay Chart'!H8*1.03</f>
        <v>8944.52</v>
      </c>
      <c r="I8" s="76">
        <f>'2024 Pay Chart'!I8*1.03</f>
        <v>9389.48</v>
      </c>
      <c r="J8" s="76">
        <f>'2024 Pay Chart'!J8*1.03</f>
        <v>9699.51</v>
      </c>
      <c r="K8" s="76">
        <f>'2024 Pay Chart'!K8*1.03</f>
        <v>9876.67</v>
      </c>
      <c r="L8" s="76">
        <f>'2024 Pay Chart'!L8*1.03</f>
        <v>9979.67</v>
      </c>
      <c r="M8" s="76">
        <f>'2024 Pay Chart'!M8*1.03</f>
        <v>9979.67</v>
      </c>
      <c r="N8" s="76">
        <f>'2024 Pay Chart'!N8*1.03</f>
        <v>9979.67</v>
      </c>
      <c r="O8" s="76">
        <f>'2024 Pay Chart'!O8*1.03</f>
        <v>9979.67</v>
      </c>
      <c r="P8" s="76">
        <f>'2024 Pay Chart'!P8*1.03</f>
        <v>9979.67</v>
      </c>
      <c r="Q8" s="76">
        <f>'2024 Pay Chart'!Q8*1.03</f>
        <v>9979.67</v>
      </c>
      <c r="R8" s="76">
        <f>'2024 Pay Chart'!R8*1.03</f>
        <v>10116.66</v>
      </c>
      <c r="S8" s="76">
        <f>'2024 Pay Chart'!S8*1.03</f>
        <v>10116.66</v>
      </c>
      <c r="T8" s="76">
        <f>'2024 Pay Chart'!T8*1.03</f>
        <v>10116.66</v>
      </c>
      <c r="U8" s="76">
        <f>'2024 Pay Chart'!U8*1.03</f>
        <v>10116.66</v>
      </c>
      <c r="V8" s="76">
        <f>'2024 Pay Chart'!V8*1.03</f>
        <v>10116.66</v>
      </c>
      <c r="W8" s="76">
        <f>'2024 Pay Chart'!W8*1.03</f>
        <v>10116.66</v>
      </c>
    </row>
    <row r="9" spans="1:23" ht="15.75" thickBot="1" x14ac:dyDescent="0.3">
      <c r="A9" s="11" t="s">
        <v>53</v>
      </c>
      <c r="B9" s="76">
        <f>'2024 Pay Chart'!B9*1.03</f>
        <v>5255.06</v>
      </c>
      <c r="C9" s="76">
        <f>'2024 Pay Chart'!C9*1.03</f>
        <v>5956.49</v>
      </c>
      <c r="D9" s="76">
        <f>'2024 Pay Chart'!D9*1.03</f>
        <v>6429.26</v>
      </c>
      <c r="E9" s="76">
        <f>'2024 Pay Chart'!E9*1.03</f>
        <v>7010.18</v>
      </c>
      <c r="F9" s="76">
        <f>'2024 Pay Chart'!F9*1.03</f>
        <v>7346.99</v>
      </c>
      <c r="G9" s="76">
        <f>'2024 Pay Chart'!G9*1.03</f>
        <v>7714.7</v>
      </c>
      <c r="H9" s="76">
        <f>'2024 Pay Chart'!H9*1.03</f>
        <v>7953.66</v>
      </c>
      <c r="I9" s="76">
        <f>'2024 Pay Chart'!I9*1.03</f>
        <v>8345.06</v>
      </c>
      <c r="J9" s="76">
        <f>'2024 Pay Chart'!J9*1.03</f>
        <v>8550.0300000000007</v>
      </c>
      <c r="K9" s="76">
        <f>'2024 Pay Chart'!K9*1.03</f>
        <v>8550.0300000000007</v>
      </c>
      <c r="L9" s="76">
        <f>'2024 Pay Chart'!L9*1.03</f>
        <v>8550.0300000000007</v>
      </c>
      <c r="M9" s="76">
        <f>'2024 Pay Chart'!M9*1.03</f>
        <v>8550.0300000000007</v>
      </c>
      <c r="N9" s="76">
        <f>'2024 Pay Chart'!N9*1.03</f>
        <v>8550.0300000000007</v>
      </c>
      <c r="O9" s="76">
        <f>'2024 Pay Chart'!O9*1.03</f>
        <v>8550.0300000000007</v>
      </c>
      <c r="P9" s="76">
        <f>'2024 Pay Chart'!P9*1.03</f>
        <v>8550.0300000000007</v>
      </c>
      <c r="Q9" s="76">
        <f>'2024 Pay Chart'!Q9*1.03</f>
        <v>8550.0300000000007</v>
      </c>
      <c r="R9" s="76">
        <f>'2024 Pay Chart'!R9*1.03</f>
        <v>8550.0300000000007</v>
      </c>
      <c r="S9" s="76">
        <f>'2024 Pay Chart'!S9*1.03</f>
        <v>8550.0300000000007</v>
      </c>
      <c r="T9" s="76">
        <f>'2024 Pay Chart'!T9*1.03</f>
        <v>8550.0300000000007</v>
      </c>
      <c r="U9" s="76">
        <f>'2024 Pay Chart'!U9*1.03</f>
        <v>8550.0300000000007</v>
      </c>
      <c r="V9" s="76">
        <f>'2024 Pay Chart'!V9*1.03</f>
        <v>8550.0300000000007</v>
      </c>
      <c r="W9" s="76">
        <f>'2024 Pay Chart'!W9*1.03</f>
        <v>8550.0300000000007</v>
      </c>
    </row>
    <row r="10" spans="1:23" ht="15.75" thickBot="1" x14ac:dyDescent="0.3">
      <c r="A10" s="11" t="s">
        <v>54</v>
      </c>
      <c r="B10" s="76">
        <f>'2024 Pay Chart'!B10*1.03</f>
        <v>4541.2700000000004</v>
      </c>
      <c r="C10" s="76">
        <f>'2024 Pay Chart'!C10*1.03</f>
        <v>5171.63</v>
      </c>
      <c r="D10" s="76">
        <f>'2024 Pay Chart'!D10*1.03</f>
        <v>5955.46</v>
      </c>
      <c r="E10" s="76">
        <f>'2024 Pay Chart'!E10*1.03</f>
        <v>6157.34</v>
      </c>
      <c r="F10" s="76">
        <f>'2024 Pay Chart'!F10*1.03</f>
        <v>6284.03</v>
      </c>
      <c r="G10" s="76">
        <f>'2024 Pay Chart'!G10*1.03</f>
        <v>6284.03</v>
      </c>
      <c r="H10" s="76">
        <f>'2024 Pay Chart'!H10*1.03</f>
        <v>6284.03</v>
      </c>
      <c r="I10" s="76">
        <f>'2024 Pay Chart'!I10*1.03</f>
        <v>6284.03</v>
      </c>
      <c r="J10" s="76">
        <f>'2024 Pay Chart'!J10*1.03</f>
        <v>6284.03</v>
      </c>
      <c r="K10" s="76">
        <f>'2024 Pay Chart'!K10*1.03</f>
        <v>6284.03</v>
      </c>
      <c r="L10" s="76">
        <f>'2024 Pay Chart'!L10*1.03</f>
        <v>6284.03</v>
      </c>
      <c r="M10" s="76">
        <f>'2024 Pay Chart'!M10*1.03</f>
        <v>6284.03</v>
      </c>
      <c r="N10" s="76">
        <f>'2024 Pay Chart'!N10*1.03</f>
        <v>6284.03</v>
      </c>
      <c r="O10" s="76">
        <f>'2024 Pay Chart'!O10*1.03</f>
        <v>6284.03</v>
      </c>
      <c r="P10" s="76">
        <f>'2024 Pay Chart'!P10*1.03</f>
        <v>6284.03</v>
      </c>
      <c r="Q10" s="76">
        <f>'2024 Pay Chart'!Q10*1.03</f>
        <v>6284.03</v>
      </c>
      <c r="R10" s="76">
        <f>'2024 Pay Chart'!R10*1.03</f>
        <v>6284.03</v>
      </c>
      <c r="S10" s="76">
        <f>'2024 Pay Chart'!S10*1.03</f>
        <v>6284.03</v>
      </c>
      <c r="T10" s="76">
        <f>'2024 Pay Chart'!T10*1.03</f>
        <v>6284.03</v>
      </c>
      <c r="U10" s="76">
        <f>'2024 Pay Chart'!U10*1.03</f>
        <v>6284.03</v>
      </c>
      <c r="V10" s="76">
        <f>'2024 Pay Chart'!V10*1.03</f>
        <v>6284.03</v>
      </c>
      <c r="W10" s="76">
        <f>'2024 Pay Chart'!W10*1.03</f>
        <v>6284.03</v>
      </c>
    </row>
    <row r="11" spans="1:23" ht="15.75" thickBot="1" x14ac:dyDescent="0.3">
      <c r="A11" s="11" t="s">
        <v>55</v>
      </c>
      <c r="B11" s="76">
        <f>'2024 Pay Chart'!B11*1.03</f>
        <v>3940.78</v>
      </c>
      <c r="C11" s="76">
        <f>'2024 Pay Chart'!C11*1.03</f>
        <v>4102.49</v>
      </c>
      <c r="D11" s="76">
        <f>'2024 Pay Chart'!D11*1.03</f>
        <v>4959.45</v>
      </c>
      <c r="E11" s="76">
        <f>'2024 Pay Chart'!E11*1.03</f>
        <v>4959.45</v>
      </c>
      <c r="F11" s="76">
        <f>'2024 Pay Chart'!F11*1.03</f>
        <v>4959.45</v>
      </c>
      <c r="G11" s="76">
        <f>'2024 Pay Chart'!G11*1.03</f>
        <v>4959.45</v>
      </c>
      <c r="H11" s="76">
        <f>'2024 Pay Chart'!H11*1.03</f>
        <v>4959.45</v>
      </c>
      <c r="I11" s="76">
        <f>'2024 Pay Chart'!I11*1.03</f>
        <v>4959.45</v>
      </c>
      <c r="J11" s="76">
        <f>'2024 Pay Chart'!J11*1.03</f>
        <v>4959.45</v>
      </c>
      <c r="K11" s="76">
        <f>'2024 Pay Chart'!K11*1.03</f>
        <v>4959.45</v>
      </c>
      <c r="L11" s="76">
        <f>'2024 Pay Chart'!L11*1.03</f>
        <v>4959.45</v>
      </c>
      <c r="M11" s="76">
        <f>'2024 Pay Chart'!M11*1.03</f>
        <v>4959.45</v>
      </c>
      <c r="N11" s="76">
        <f>'2024 Pay Chart'!N11*1.03</f>
        <v>4959.45</v>
      </c>
      <c r="O11" s="76">
        <f>'2024 Pay Chart'!O11*1.03</f>
        <v>4959.45</v>
      </c>
      <c r="P11" s="76">
        <f>'2024 Pay Chart'!P11*1.03</f>
        <v>4959.45</v>
      </c>
      <c r="Q11" s="76">
        <f>'2024 Pay Chart'!Q11*1.03</f>
        <v>4959.45</v>
      </c>
      <c r="R11" s="76">
        <f>'2024 Pay Chart'!R11*1.03</f>
        <v>4959.45</v>
      </c>
      <c r="S11" s="76">
        <f>'2024 Pay Chart'!S11*1.03</f>
        <v>4959.45</v>
      </c>
      <c r="T11" s="76">
        <f>'2024 Pay Chart'!T11*1.03</f>
        <v>4959.45</v>
      </c>
      <c r="U11" s="76">
        <f>'2024 Pay Chart'!U11*1.03</f>
        <v>4959.45</v>
      </c>
      <c r="V11" s="76">
        <f>'2024 Pay Chart'!V11*1.03</f>
        <v>4959.45</v>
      </c>
      <c r="W11" s="76">
        <f>'2024 Pay Chart'!W11*1.03</f>
        <v>4959.45</v>
      </c>
    </row>
    <row r="12" spans="1:23" ht="15.75" thickBot="1" x14ac:dyDescent="0.3">
      <c r="A12" s="13" t="s">
        <v>35</v>
      </c>
      <c r="B12" s="76">
        <f>'2024 Pay Chart'!B12*1.03</f>
        <v>9657.2800000000007</v>
      </c>
      <c r="C12" s="76">
        <f>'2024 Pay Chart'!C12*1.03</f>
        <v>9657.2800000000007</v>
      </c>
      <c r="D12" s="76">
        <f>'2024 Pay Chart'!D12*1.03</f>
        <v>9657.2800000000007</v>
      </c>
      <c r="E12" s="76">
        <f>'2024 Pay Chart'!E12*1.03</f>
        <v>9657.2800000000007</v>
      </c>
      <c r="F12" s="76">
        <f>'2024 Pay Chart'!F12*1.03</f>
        <v>9657.2800000000007</v>
      </c>
      <c r="G12" s="76">
        <f>'2024 Pay Chart'!G12*1.03</f>
        <v>9657.2800000000007</v>
      </c>
      <c r="H12" s="76">
        <f>'2024 Pay Chart'!H12*1.03</f>
        <v>9657.2800000000007</v>
      </c>
      <c r="I12" s="76">
        <f>'2024 Pay Chart'!I12*1.03</f>
        <v>9657.2800000000007</v>
      </c>
      <c r="J12" s="76">
        <f>'2024 Pay Chart'!J12*1.03</f>
        <v>9657.2800000000007</v>
      </c>
      <c r="K12" s="76">
        <f>'2024 Pay Chart'!K12*1.03</f>
        <v>9657.2800000000007</v>
      </c>
      <c r="L12" s="76">
        <f>'2024 Pay Chart'!L12*1.03</f>
        <v>9657.2800000000007</v>
      </c>
      <c r="M12" s="76">
        <f>'2024 Pay Chart'!M12*1.03</f>
        <v>9657.2800000000007</v>
      </c>
      <c r="N12" s="76">
        <f>'2024 Pay Chart'!N12*1.03</f>
        <v>10146.530000000001</v>
      </c>
      <c r="O12" s="76">
        <f>'2024 Pay Chart'!O12*1.03</f>
        <v>10511.15</v>
      </c>
      <c r="P12" s="76">
        <f>'2024 Pay Chart'!P12*1.03</f>
        <v>10914.91</v>
      </c>
      <c r="Q12" s="76">
        <f>'2024 Pay Chart'!Q12*1.03</f>
        <v>10914.91</v>
      </c>
      <c r="R12" s="76">
        <f>'2024 Pay Chart'!R12*1.03</f>
        <v>10914.91</v>
      </c>
      <c r="S12" s="76">
        <f>'2024 Pay Chart'!S12*1.03</f>
        <v>10914.91</v>
      </c>
      <c r="T12" s="76">
        <f>'2024 Pay Chart'!T12*1.03</f>
        <v>10914.91</v>
      </c>
      <c r="U12" s="76">
        <f>'2024 Pay Chart'!U12*1.03</f>
        <v>10914.91</v>
      </c>
      <c r="V12" s="76">
        <f>'2024 Pay Chart'!V12*1.03</f>
        <v>10914.91</v>
      </c>
      <c r="W12" s="76">
        <f>'2024 Pay Chart'!W12*1.03</f>
        <v>10914.91</v>
      </c>
    </row>
    <row r="13" spans="1:23" ht="15.75" thickBot="1" x14ac:dyDescent="0.3">
      <c r="A13" s="13" t="s">
        <v>36</v>
      </c>
      <c r="B13" s="76">
        <f>'2024 Pay Chart'!B13*1.03</f>
        <v>5431.1900000000005</v>
      </c>
      <c r="C13" s="76">
        <f>'2024 Pay Chart'!C13*1.03</f>
        <v>5842.16</v>
      </c>
      <c r="D13" s="76">
        <f>'2024 Pay Chart'!D13*1.03</f>
        <v>6010.05</v>
      </c>
      <c r="E13" s="76">
        <f>'2024 Pay Chart'!E13*1.03</f>
        <v>6174.85</v>
      </c>
      <c r="F13" s="76">
        <f>'2024 Pay Chart'!F13*1.03</f>
        <v>6459.13</v>
      </c>
      <c r="G13" s="76">
        <f>'2024 Pay Chart'!G13*1.03</f>
        <v>6740.3200000000006</v>
      </c>
      <c r="H13" s="76">
        <f>'2024 Pay Chart'!H13*1.03</f>
        <v>7024.6</v>
      </c>
      <c r="I13" s="76">
        <f>'2024 Pay Chart'!I13*1.03</f>
        <v>7452.05</v>
      </c>
      <c r="J13" s="76">
        <f>'2024 Pay Chart'!J13*1.03</f>
        <v>7828</v>
      </c>
      <c r="K13" s="76">
        <f>'2024 Pay Chart'!K13*1.03</f>
        <v>8185.41</v>
      </c>
      <c r="L13" s="76">
        <f>'2024 Pay Chart'!L13*1.03</f>
        <v>8477.93</v>
      </c>
      <c r="M13" s="76">
        <f>'2024 Pay Chart'!M13*1.03</f>
        <v>8763.24</v>
      </c>
      <c r="N13" s="76">
        <f>'2024 Pay Chart'!N13*1.03</f>
        <v>9181.42</v>
      </c>
      <c r="O13" s="76">
        <f>'2024 Pay Chart'!O13*1.03</f>
        <v>9525.44</v>
      </c>
      <c r="P13" s="76">
        <f>'2024 Pay Chart'!P13*1.03</f>
        <v>9918.9</v>
      </c>
      <c r="Q13" s="76">
        <f>'2024 Pay Chart'!Q13*1.03</f>
        <v>9918.9</v>
      </c>
      <c r="R13" s="76">
        <f>'2024 Pay Chart'!R13*1.03</f>
        <v>9918.9</v>
      </c>
      <c r="S13" s="76">
        <f>'2024 Pay Chart'!S13*1.03</f>
        <v>9918.9</v>
      </c>
      <c r="T13" s="76">
        <f>'2024 Pay Chart'!T13*1.03</f>
        <v>9918.9</v>
      </c>
      <c r="U13" s="76">
        <f>'2024 Pay Chart'!U13*1.03</f>
        <v>9918.9</v>
      </c>
      <c r="V13" s="76">
        <f>'2024 Pay Chart'!V13*1.03</f>
        <v>9918.9</v>
      </c>
      <c r="W13" s="76">
        <f>'2024 Pay Chart'!W13*1.03</f>
        <v>9918.9</v>
      </c>
    </row>
    <row r="14" spans="1:23" ht="15.75" thickBot="1" x14ac:dyDescent="0.3">
      <c r="A14" s="13" t="s">
        <v>37</v>
      </c>
      <c r="B14" s="76">
        <f>'2024 Pay Chart'!B14*1.03</f>
        <v>4959.45</v>
      </c>
      <c r="C14" s="76">
        <f>'2024 Pay Chart'!C14*1.03</f>
        <v>5166.4800000000005</v>
      </c>
      <c r="D14" s="76">
        <f>'2024 Pay Chart'!D14*1.03</f>
        <v>5378.66</v>
      </c>
      <c r="E14" s="76">
        <f>'2024 Pay Chart'!E14*1.03</f>
        <v>5448.7</v>
      </c>
      <c r="F14" s="76">
        <f>'2024 Pay Chart'!F14*1.03</f>
        <v>5669.12</v>
      </c>
      <c r="G14" s="76">
        <f>'2024 Pay Chart'!G14*1.03</f>
        <v>6106.87</v>
      </c>
      <c r="H14" s="76">
        <f>'2024 Pay Chart'!H14*1.03</f>
        <v>6562.13</v>
      </c>
      <c r="I14" s="76">
        <f>'2024 Pay Chart'!I14*1.03</f>
        <v>6776.37</v>
      </c>
      <c r="J14" s="76">
        <f>'2024 Pay Chart'!J14*1.03</f>
        <v>7024.6</v>
      </c>
      <c r="K14" s="76">
        <f>'2024 Pay Chart'!K14*1.03</f>
        <v>7279.01</v>
      </c>
      <c r="L14" s="76">
        <f>'2024 Pay Chart'!L14*1.03</f>
        <v>7739.42</v>
      </c>
      <c r="M14" s="76">
        <f>'2024 Pay Chart'!M14*1.03</f>
        <v>8049.45</v>
      </c>
      <c r="N14" s="76">
        <f>'2024 Pay Chart'!N14*1.03</f>
        <v>8234.85</v>
      </c>
      <c r="O14" s="76">
        <f>'2024 Pay Chart'!O14*1.03</f>
        <v>8431.58</v>
      </c>
      <c r="P14" s="76">
        <f>'2024 Pay Chart'!P14*1.03</f>
        <v>8700.41</v>
      </c>
      <c r="Q14" s="76">
        <f>'2024 Pay Chart'!Q14*1.03</f>
        <v>8700.41</v>
      </c>
      <c r="R14" s="76">
        <f>'2024 Pay Chart'!R14*1.03</f>
        <v>8700.41</v>
      </c>
      <c r="S14" s="76">
        <f>'2024 Pay Chart'!S14*1.03</f>
        <v>8700.41</v>
      </c>
      <c r="T14" s="76">
        <f>'2024 Pay Chart'!T14*1.03</f>
        <v>8700.41</v>
      </c>
      <c r="U14" s="76">
        <f>'2024 Pay Chart'!U14*1.03</f>
        <v>8700.41</v>
      </c>
      <c r="V14" s="76">
        <f>'2024 Pay Chart'!V14*1.03</f>
        <v>8700.41</v>
      </c>
      <c r="W14" s="76">
        <f>'2024 Pay Chart'!W14*1.03</f>
        <v>8700.41</v>
      </c>
    </row>
    <row r="15" spans="1:23" ht="15.75" thickBot="1" x14ac:dyDescent="0.3">
      <c r="A15" s="13" t="s">
        <v>38</v>
      </c>
      <c r="B15" s="76">
        <f>'2024 Pay Chart'!B15*1.03</f>
        <v>4388.83</v>
      </c>
      <c r="C15" s="76">
        <f>'2024 Pay Chart'!C15*1.03</f>
        <v>4803.92</v>
      </c>
      <c r="D15" s="76">
        <f>'2024 Pay Chart'!D15*1.03</f>
        <v>4931.6400000000003</v>
      </c>
      <c r="E15" s="76">
        <f>'2024 Pay Chart'!E15*1.03</f>
        <v>5019.1900000000005</v>
      </c>
      <c r="F15" s="76">
        <f>'2024 Pay Chart'!F15*1.03</f>
        <v>5303.47</v>
      </c>
      <c r="G15" s="76">
        <f>'2024 Pay Chart'!G15*1.03</f>
        <v>5746.37</v>
      </c>
      <c r="H15" s="76">
        <f>'2024 Pay Chart'!H15*1.03</f>
        <v>5965.76</v>
      </c>
      <c r="I15" s="76">
        <f>'2024 Pay Chart'!I15*1.03</f>
        <v>6181.03</v>
      </c>
      <c r="J15" s="76">
        <f>'2024 Pay Chart'!J15*1.03</f>
        <v>6444.71</v>
      </c>
      <c r="K15" s="76">
        <f>'2024 Pay Chart'!K15*1.03</f>
        <v>6651.74</v>
      </c>
      <c r="L15" s="76">
        <f>'2024 Pay Chart'!L15*1.03</f>
        <v>6838.17</v>
      </c>
      <c r="M15" s="76">
        <f>'2024 Pay Chart'!M15*1.03</f>
        <v>7061.68</v>
      </c>
      <c r="N15" s="76">
        <f>'2024 Pay Chart'!N15*1.03</f>
        <v>7208.97</v>
      </c>
      <c r="O15" s="76">
        <f>'2024 Pay Chart'!O15*1.03</f>
        <v>7325.3600000000006</v>
      </c>
      <c r="P15" s="76">
        <f>'2024 Pay Chart'!P15*1.03</f>
        <v>7325.3600000000006</v>
      </c>
      <c r="Q15" s="76">
        <f>'2024 Pay Chart'!Q15*1.03</f>
        <v>7325.3600000000006</v>
      </c>
      <c r="R15" s="76">
        <f>'2024 Pay Chart'!R15*1.03</f>
        <v>7325.3600000000006</v>
      </c>
      <c r="S15" s="76">
        <f>'2024 Pay Chart'!S15*1.03</f>
        <v>7325.3600000000006</v>
      </c>
      <c r="T15" s="76">
        <f>'2024 Pay Chart'!T15*1.03</f>
        <v>7325.3600000000006</v>
      </c>
      <c r="U15" s="76">
        <f>'2024 Pay Chart'!U15*1.03</f>
        <v>7325.3600000000006</v>
      </c>
      <c r="V15" s="76">
        <f>'2024 Pay Chart'!V15*1.03</f>
        <v>7325.3600000000006</v>
      </c>
      <c r="W15" s="76">
        <f>'2024 Pay Chart'!W15*1.03</f>
        <v>7325.3600000000006</v>
      </c>
    </row>
    <row r="16" spans="1:23" ht="15.75" thickBot="1" x14ac:dyDescent="0.3">
      <c r="A16" s="13" t="s">
        <v>39</v>
      </c>
      <c r="B16" s="76">
        <f>'2024 Pay Chart'!B16*1.03</f>
        <v>3852.2000000000003</v>
      </c>
      <c r="C16" s="76">
        <f>'2024 Pay Chart'!C16*1.03</f>
        <v>4267.29</v>
      </c>
      <c r="D16" s="76">
        <f>'2024 Pay Chart'!D16*1.03</f>
        <v>4378.53</v>
      </c>
      <c r="E16" s="76">
        <f>'2024 Pay Chart'!E16*1.03</f>
        <v>4613.37</v>
      </c>
      <c r="F16" s="76">
        <f>'2024 Pay Chart'!F16*1.03</f>
        <v>4892.5</v>
      </c>
      <c r="G16" s="76">
        <f>'2024 Pay Chart'!G16*1.03</f>
        <v>5303.47</v>
      </c>
      <c r="H16" s="76">
        <f>'2024 Pay Chart'!H16*1.03</f>
        <v>5495.05</v>
      </c>
      <c r="I16" s="76">
        <f>'2024 Pay Chart'!I16*1.03</f>
        <v>5762.85</v>
      </c>
      <c r="J16" s="76">
        <f>'2024 Pay Chart'!J16*1.03</f>
        <v>6026.53</v>
      </c>
      <c r="K16" s="76">
        <f>'2024 Pay Chart'!K16*1.03</f>
        <v>6233.56</v>
      </c>
      <c r="L16" s="76">
        <f>'2024 Pay Chart'!L16*1.03</f>
        <v>6424.1100000000006</v>
      </c>
      <c r="M16" s="76">
        <f>'2024 Pay Chart'!M16*1.03</f>
        <v>6656.89</v>
      </c>
      <c r="N16" s="76">
        <f>'2024 Pay Chart'!N16*1.03</f>
        <v>6656.89</v>
      </c>
      <c r="O16" s="76">
        <f>'2024 Pay Chart'!O16*1.03</f>
        <v>6656.89</v>
      </c>
      <c r="P16" s="76">
        <f>'2024 Pay Chart'!P16*1.03</f>
        <v>6656.89</v>
      </c>
      <c r="Q16" s="76">
        <f>'2024 Pay Chart'!Q16*1.03</f>
        <v>6656.89</v>
      </c>
      <c r="R16" s="76">
        <f>'2024 Pay Chart'!R16*1.03</f>
        <v>6656.89</v>
      </c>
      <c r="S16" s="76">
        <f>'2024 Pay Chart'!S16*1.03</f>
        <v>6656.89</v>
      </c>
      <c r="T16" s="76">
        <f>'2024 Pay Chart'!T16*1.03</f>
        <v>6656.89</v>
      </c>
      <c r="U16" s="76">
        <f>'2024 Pay Chart'!U16*1.03</f>
        <v>6656.89</v>
      </c>
      <c r="V16" s="76">
        <f>'2024 Pay Chart'!V16*1.03</f>
        <v>6656.89</v>
      </c>
      <c r="W16" s="76">
        <f>'2024 Pay Chart'!W16*1.03</f>
        <v>6656.89</v>
      </c>
    </row>
    <row r="17" spans="1:23" ht="15.75" thickBot="1" x14ac:dyDescent="0.3">
      <c r="A17" s="13" t="s">
        <v>40</v>
      </c>
      <c r="B17" s="76">
        <f>'2024 Pay Chart'!B17*1.03</f>
        <v>6561.1</v>
      </c>
      <c r="C17" s="76">
        <f>'2024 Pay Chart'!C17*1.03</f>
        <v>6561.1</v>
      </c>
      <c r="D17" s="76">
        <f>'2024 Pay Chart'!D17*1.03</f>
        <v>6561.1</v>
      </c>
      <c r="E17" s="76">
        <f>'2024 Pay Chart'!E17*1.03</f>
        <v>6561.1</v>
      </c>
      <c r="F17" s="76">
        <f>'2024 Pay Chart'!F17*1.03</f>
        <v>6561.1</v>
      </c>
      <c r="G17" s="76">
        <f>'2024 Pay Chart'!G17*1.03</f>
        <v>6561.1</v>
      </c>
      <c r="H17" s="76">
        <f>'2024 Pay Chart'!H17*1.03</f>
        <v>6561.1</v>
      </c>
      <c r="I17" s="76">
        <f>'2024 Pay Chart'!I17*1.03</f>
        <v>6710.45</v>
      </c>
      <c r="J17" s="76">
        <f>'2024 Pay Chart'!J17*1.03</f>
        <v>6897.91</v>
      </c>
      <c r="K17" s="76">
        <f>'2024 Pay Chart'!K17*1.03</f>
        <v>7117.3</v>
      </c>
      <c r="L17" s="76">
        <f>'2024 Pay Chart'!L17*1.03</f>
        <v>7340.81</v>
      </c>
      <c r="M17" s="76">
        <f>'2024 Pay Chart'!M17*1.03</f>
        <v>7696.16</v>
      </c>
      <c r="N17" s="76">
        <f>'2024 Pay Chart'!N17*1.03</f>
        <v>7997.95</v>
      </c>
      <c r="O17" s="76">
        <f>'2024 Pay Chart'!O17*1.03</f>
        <v>8315.19</v>
      </c>
      <c r="P17" s="76">
        <f>'2024 Pay Chart'!P17*1.03</f>
        <v>8800.32</v>
      </c>
      <c r="Q17" s="76">
        <f>'2024 Pay Chart'!Q17*1.03</f>
        <v>8800.32</v>
      </c>
      <c r="R17" s="76">
        <f>'2024 Pay Chart'!R17*1.03</f>
        <v>9239.1</v>
      </c>
      <c r="S17" s="76">
        <f>'2024 Pay Chart'!S17*1.03</f>
        <v>9239.1</v>
      </c>
      <c r="T17" s="76">
        <f>'2024 Pay Chart'!T17*1.03</f>
        <v>9701.57</v>
      </c>
      <c r="U17" s="76">
        <f>'2024 Pay Chart'!U17*1.03</f>
        <v>9701.57</v>
      </c>
      <c r="V17" s="76">
        <f>'2024 Pay Chart'!V17*1.03</f>
        <v>10187.73</v>
      </c>
      <c r="W17" s="76">
        <f>'2024 Pay Chart'!W17*1.03</f>
        <v>10187.73</v>
      </c>
    </row>
    <row r="18" spans="1:23" ht="15.75" thickBot="1" x14ac:dyDescent="0.3">
      <c r="A18" s="13" t="s">
        <v>41</v>
      </c>
      <c r="B18" s="76">
        <f>'2024 Pay Chart'!B18*1.03</f>
        <v>5371.45</v>
      </c>
      <c r="C18" s="76">
        <f>'2024 Pay Chart'!C18*1.03</f>
        <v>5371.45</v>
      </c>
      <c r="D18" s="76">
        <f>'2024 Pay Chart'!D18*1.03</f>
        <v>5371.45</v>
      </c>
      <c r="E18" s="76">
        <f>'2024 Pay Chart'!E18*1.03</f>
        <v>5371.45</v>
      </c>
      <c r="F18" s="76">
        <f>'2024 Pay Chart'!F18*1.03</f>
        <v>5371.45</v>
      </c>
      <c r="G18" s="76">
        <f>'2024 Pay Chart'!G18*1.03</f>
        <v>5371.45</v>
      </c>
      <c r="H18" s="76">
        <f>'2024 Pay Chart'!H18*1.03</f>
        <v>5608.35</v>
      </c>
      <c r="I18" s="76">
        <f>'2024 Pay Chart'!I18*1.03</f>
        <v>5755.64</v>
      </c>
      <c r="J18" s="76">
        <f>'2024 Pay Chart'!J18*1.03</f>
        <v>5931.77</v>
      </c>
      <c r="K18" s="76">
        <f>'2024 Pay Chart'!K18*1.03</f>
        <v>6123.35</v>
      </c>
      <c r="L18" s="76">
        <f>'2024 Pay Chart'!L18*1.03</f>
        <v>6467.37</v>
      </c>
      <c r="M18" s="76">
        <f>'2024 Pay Chart'!M18*1.03</f>
        <v>6642.47</v>
      </c>
      <c r="N18" s="76">
        <f>'2024 Pay Chart'!N18*1.03</f>
        <v>6939.1100000000006</v>
      </c>
      <c r="O18" s="76">
        <f>'2024 Pay Chart'!O18*1.03</f>
        <v>7103.91</v>
      </c>
      <c r="P18" s="76">
        <f>'2024 Pay Chart'!P18*1.03</f>
        <v>7509.7300000000005</v>
      </c>
      <c r="Q18" s="76">
        <f>'2024 Pay Chart'!Q18*1.03</f>
        <v>7509.7300000000005</v>
      </c>
      <c r="R18" s="76">
        <f>'2024 Pay Chart'!R18*1.03</f>
        <v>7661.14</v>
      </c>
      <c r="S18" s="76">
        <f>'2024 Pay Chart'!S18*1.03</f>
        <v>7661.14</v>
      </c>
      <c r="T18" s="76">
        <f>'2024 Pay Chart'!T18*1.03</f>
        <v>7661.14</v>
      </c>
      <c r="U18" s="76">
        <f>'2024 Pay Chart'!U18*1.03</f>
        <v>7661.14</v>
      </c>
      <c r="V18" s="76">
        <f>'2024 Pay Chart'!V18*1.03</f>
        <v>7661.14</v>
      </c>
      <c r="W18" s="76">
        <f>'2024 Pay Chart'!W18*1.03</f>
        <v>7661.14</v>
      </c>
    </row>
    <row r="19" spans="1:23" ht="15.75" thickBot="1" x14ac:dyDescent="0.3">
      <c r="A19" s="13" t="s">
        <v>42</v>
      </c>
      <c r="B19" s="76">
        <f>'2024 Pay Chart'!B19*1.03</f>
        <v>3733.75</v>
      </c>
      <c r="C19" s="76">
        <f>'2024 Pay Chart'!C19*1.03</f>
        <v>4074.6800000000003</v>
      </c>
      <c r="D19" s="76">
        <f>'2024 Pay Chart'!D19*1.03</f>
        <v>4231.24</v>
      </c>
      <c r="E19" s="76">
        <f>'2024 Pay Chart'!E19*1.03</f>
        <v>4437.24</v>
      </c>
      <c r="F19" s="76">
        <f>'2024 Pay Chart'!F19*1.03</f>
        <v>4598.95</v>
      </c>
      <c r="G19" s="76">
        <f>'2024 Pay Chart'!G19*1.03</f>
        <v>4876.0200000000004</v>
      </c>
      <c r="H19" s="76">
        <f>'2024 Pay Chart'!H19*1.03</f>
        <v>5032.58</v>
      </c>
      <c r="I19" s="76">
        <f>'2024 Pay Chart'!I19*1.03</f>
        <v>5309.6500000000005</v>
      </c>
      <c r="J19" s="76">
        <f>'2024 Pay Chart'!J19*1.03</f>
        <v>5541.4000000000005</v>
      </c>
      <c r="K19" s="76">
        <f>'2024 Pay Chart'!K19*1.03</f>
        <v>5697.96</v>
      </c>
      <c r="L19" s="76">
        <f>'2024 Pay Chart'!L19*1.03</f>
        <v>5865.85</v>
      </c>
      <c r="M19" s="76">
        <f>'2024 Pay Chart'!M19*1.03</f>
        <v>5930.74</v>
      </c>
      <c r="N19" s="76">
        <f>'2024 Pay Chart'!N19*1.03</f>
        <v>6149.1</v>
      </c>
      <c r="O19" s="76">
        <f>'2024 Pay Chart'!O19*1.03</f>
        <v>6265.49</v>
      </c>
      <c r="P19" s="76">
        <f>'2024 Pay Chart'!P19*1.03</f>
        <v>6710.45</v>
      </c>
      <c r="Q19" s="76">
        <f>'2024 Pay Chart'!Q19*1.03</f>
        <v>6710.45</v>
      </c>
      <c r="R19" s="76">
        <f>'2024 Pay Chart'!R19*1.03</f>
        <v>6710.45</v>
      </c>
      <c r="S19" s="76">
        <f>'2024 Pay Chart'!S19*1.03</f>
        <v>6710.45</v>
      </c>
      <c r="T19" s="76">
        <f>'2024 Pay Chart'!T19*1.03</f>
        <v>6710.45</v>
      </c>
      <c r="U19" s="76">
        <f>'2024 Pay Chart'!U19*1.03</f>
        <v>6710.45</v>
      </c>
      <c r="V19" s="76">
        <f>'2024 Pay Chart'!V19*1.03</f>
        <v>6710.45</v>
      </c>
      <c r="W19" s="76">
        <f>'2024 Pay Chart'!W19*1.03</f>
        <v>6710.45</v>
      </c>
    </row>
    <row r="20" spans="1:23" ht="15.75" thickBot="1" x14ac:dyDescent="0.3">
      <c r="A20" s="13" t="s">
        <v>43</v>
      </c>
      <c r="B20" s="76">
        <f>'2024 Pay Chart'!B20*1.03</f>
        <v>3229.05</v>
      </c>
      <c r="C20" s="76">
        <f>'2024 Pay Chart'!C20*1.03</f>
        <v>3553.5</v>
      </c>
      <c r="D20" s="76">
        <f>'2024 Pay Chart'!D20*1.03</f>
        <v>3711.09</v>
      </c>
      <c r="E20" s="76">
        <f>'2024 Pay Chart'!E20*1.03</f>
        <v>3863.53</v>
      </c>
      <c r="F20" s="76">
        <f>'2024 Pay Chart'!F20*1.03</f>
        <v>4022.15</v>
      </c>
      <c r="G20" s="76">
        <f>'2024 Pay Chart'!G20*1.03</f>
        <v>4379.5600000000004</v>
      </c>
      <c r="H20" s="76">
        <f>'2024 Pay Chart'!H20*1.03</f>
        <v>4519.6400000000003</v>
      </c>
      <c r="I20" s="76">
        <f>'2024 Pay Chart'!I20*1.03</f>
        <v>4789.5</v>
      </c>
      <c r="J20" s="76">
        <f>'2024 Pay Chart'!J20*1.03</f>
        <v>4871.9000000000005</v>
      </c>
      <c r="K20" s="76">
        <f>'2024 Pay Chart'!K20*1.03</f>
        <v>4931.6400000000003</v>
      </c>
      <c r="L20" s="76">
        <f>'2024 Pay Chart'!L20*1.03</f>
        <v>5001.68</v>
      </c>
      <c r="M20" s="76">
        <f>'2024 Pay Chart'!M20*1.03</f>
        <v>5001.68</v>
      </c>
      <c r="N20" s="76">
        <f>'2024 Pay Chart'!N20*1.03</f>
        <v>5001.68</v>
      </c>
      <c r="O20" s="76">
        <f>'2024 Pay Chart'!O20*1.03</f>
        <v>5001.68</v>
      </c>
      <c r="P20" s="76">
        <f>'2024 Pay Chart'!P20*1.03</f>
        <v>5001.68</v>
      </c>
      <c r="Q20" s="76">
        <f>'2024 Pay Chart'!Q20*1.03</f>
        <v>5001.68</v>
      </c>
      <c r="R20" s="76">
        <f>'2024 Pay Chart'!R20*1.03</f>
        <v>5001.68</v>
      </c>
      <c r="S20" s="76">
        <f>'2024 Pay Chart'!S20*1.03</f>
        <v>5001.68</v>
      </c>
      <c r="T20" s="76">
        <f>'2024 Pay Chart'!T20*1.03</f>
        <v>5001.68</v>
      </c>
      <c r="U20" s="76">
        <f>'2024 Pay Chart'!U20*1.03</f>
        <v>5001.68</v>
      </c>
      <c r="V20" s="76">
        <f>'2024 Pay Chart'!V20*1.03</f>
        <v>5001.68</v>
      </c>
      <c r="W20" s="76">
        <f>'2024 Pay Chart'!W20*1.03</f>
        <v>5001.68</v>
      </c>
    </row>
    <row r="21" spans="1:23" ht="15.75" thickBot="1" x14ac:dyDescent="0.3">
      <c r="A21" s="13" t="s">
        <v>44</v>
      </c>
      <c r="B21" s="76">
        <f>'2024 Pay Chart'!B21*1.03</f>
        <v>2958.16</v>
      </c>
      <c r="C21" s="76">
        <f>'2024 Pay Chart'!C21*1.03</f>
        <v>3157.98</v>
      </c>
      <c r="D21" s="76">
        <f>'2024 Pay Chart'!D21*1.03</f>
        <v>3310.42</v>
      </c>
      <c r="E21" s="76">
        <f>'2024 Pay Chart'!E21*1.03</f>
        <v>3466.98</v>
      </c>
      <c r="F21" s="76">
        <f>'2024 Pay Chart'!F21*1.03</f>
        <v>3710.06</v>
      </c>
      <c r="G21" s="76">
        <f>'2024 Pay Chart'!G21*1.03</f>
        <v>3964.4700000000003</v>
      </c>
      <c r="H21" s="76">
        <f>'2024 Pay Chart'!H21*1.03</f>
        <v>4173.5600000000004</v>
      </c>
      <c r="I21" s="76">
        <f>'2024 Pay Chart'!I21*1.03</f>
        <v>4198.28</v>
      </c>
      <c r="J21" s="76">
        <f>'2024 Pay Chart'!J21*1.03</f>
        <v>4198.28</v>
      </c>
      <c r="K21" s="76">
        <f>'2024 Pay Chart'!K21*1.03</f>
        <v>4198.28</v>
      </c>
      <c r="L21" s="76">
        <f>'2024 Pay Chart'!L21*1.03</f>
        <v>4198.28</v>
      </c>
      <c r="M21" s="76">
        <f>'2024 Pay Chart'!M21*1.03</f>
        <v>4198.28</v>
      </c>
      <c r="N21" s="76">
        <f>'2024 Pay Chart'!N21*1.03</f>
        <v>4198.28</v>
      </c>
      <c r="O21" s="76">
        <f>'2024 Pay Chart'!O21*1.03</f>
        <v>4198.28</v>
      </c>
      <c r="P21" s="76">
        <f>'2024 Pay Chart'!P21*1.03</f>
        <v>4198.28</v>
      </c>
      <c r="Q21" s="76">
        <f>'2024 Pay Chart'!Q21*1.03</f>
        <v>4198.28</v>
      </c>
      <c r="R21" s="76">
        <f>'2024 Pay Chart'!R21*1.03</f>
        <v>4198.28</v>
      </c>
      <c r="S21" s="76">
        <f>'2024 Pay Chart'!S21*1.03</f>
        <v>4198.28</v>
      </c>
      <c r="T21" s="76">
        <f>'2024 Pay Chart'!T21*1.03</f>
        <v>4198.28</v>
      </c>
      <c r="U21" s="76">
        <f>'2024 Pay Chart'!U21*1.03</f>
        <v>4198.28</v>
      </c>
      <c r="V21" s="76">
        <f>'2024 Pay Chart'!V21*1.03</f>
        <v>4198.28</v>
      </c>
      <c r="W21" s="76">
        <f>'2024 Pay Chart'!W21*1.03</f>
        <v>4198.28</v>
      </c>
    </row>
    <row r="22" spans="1:23" ht="15.75" thickBot="1" x14ac:dyDescent="0.3">
      <c r="A22" s="13" t="s">
        <v>45</v>
      </c>
      <c r="B22" s="76">
        <f>'2024 Pay Chart'!B22*1.03</f>
        <v>2713.02</v>
      </c>
      <c r="C22" s="76">
        <f>'2024 Pay Chart'!C22*1.03</f>
        <v>2852.07</v>
      </c>
      <c r="D22" s="76">
        <f>'2024 Pay Chart'!D22*1.03</f>
        <v>3005.54</v>
      </c>
      <c r="E22" s="76">
        <f>'2024 Pay Chart'!E22*1.03</f>
        <v>3159.01</v>
      </c>
      <c r="F22" s="76">
        <f>'2024 Pay Chart'!F22*1.03</f>
        <v>3292.9100000000003</v>
      </c>
      <c r="G22" s="76">
        <f>'2024 Pay Chart'!G22*1.03</f>
        <v>3292.9100000000003</v>
      </c>
      <c r="H22" s="76">
        <f>'2024 Pay Chart'!H22*1.03</f>
        <v>3292.9100000000003</v>
      </c>
      <c r="I22" s="76">
        <f>'2024 Pay Chart'!I22*1.03</f>
        <v>3292.9100000000003</v>
      </c>
      <c r="J22" s="76">
        <f>'2024 Pay Chart'!J22*1.03</f>
        <v>3292.9100000000003</v>
      </c>
      <c r="K22" s="76">
        <f>'2024 Pay Chart'!K22*1.03</f>
        <v>3292.9100000000003</v>
      </c>
      <c r="L22" s="76">
        <f>'2024 Pay Chart'!L22*1.03</f>
        <v>3292.9100000000003</v>
      </c>
      <c r="M22" s="76">
        <f>'2024 Pay Chart'!M22*1.03</f>
        <v>3292.9100000000003</v>
      </c>
      <c r="N22" s="76">
        <f>'2024 Pay Chart'!N22*1.03</f>
        <v>3292.9100000000003</v>
      </c>
      <c r="O22" s="76">
        <f>'2024 Pay Chart'!O22*1.03</f>
        <v>3292.9100000000003</v>
      </c>
      <c r="P22" s="76">
        <f>'2024 Pay Chart'!P22*1.03</f>
        <v>3292.9100000000003</v>
      </c>
      <c r="Q22" s="76">
        <f>'2024 Pay Chart'!Q22*1.03</f>
        <v>3292.9100000000003</v>
      </c>
      <c r="R22" s="76">
        <f>'2024 Pay Chart'!R22*1.03</f>
        <v>3292.9100000000003</v>
      </c>
      <c r="S22" s="76">
        <f>'2024 Pay Chart'!S22*1.03</f>
        <v>3292.9100000000003</v>
      </c>
      <c r="T22" s="76">
        <f>'2024 Pay Chart'!T22*1.03</f>
        <v>3292.9100000000003</v>
      </c>
      <c r="U22" s="76">
        <f>'2024 Pay Chart'!U22*1.03</f>
        <v>3292.9100000000003</v>
      </c>
      <c r="V22" s="76">
        <f>'2024 Pay Chart'!V22*1.03</f>
        <v>3292.9100000000003</v>
      </c>
      <c r="W22" s="76">
        <f>'2024 Pay Chart'!W22*1.03</f>
        <v>3292.9100000000003</v>
      </c>
    </row>
    <row r="23" spans="1:23" ht="15.75" thickBot="1" x14ac:dyDescent="0.3">
      <c r="A23" s="13" t="s">
        <v>46</v>
      </c>
      <c r="B23" s="76">
        <f>'2024 Pay Chart'!B23*1.03</f>
        <v>2449.34</v>
      </c>
      <c r="C23" s="76">
        <f>'2024 Pay Chart'!C23*1.03</f>
        <v>2602.81</v>
      </c>
      <c r="D23" s="76">
        <f>'2024 Pay Chart'!D23*1.03</f>
        <v>2760.4</v>
      </c>
      <c r="E23" s="76">
        <f>'2024 Pay Chart'!E23*1.03</f>
        <v>2760.4</v>
      </c>
      <c r="F23" s="76">
        <f>'2024 Pay Chart'!F23*1.03</f>
        <v>2760.4</v>
      </c>
      <c r="G23" s="76">
        <f>'2024 Pay Chart'!G23*1.03</f>
        <v>2760.4</v>
      </c>
      <c r="H23" s="76">
        <f>'2024 Pay Chart'!H23*1.03</f>
        <v>2760.4</v>
      </c>
      <c r="I23" s="76">
        <f>'2024 Pay Chart'!I23*1.03</f>
        <v>2760.4</v>
      </c>
      <c r="J23" s="76">
        <f>'2024 Pay Chart'!J23*1.03</f>
        <v>2760.4</v>
      </c>
      <c r="K23" s="76">
        <f>'2024 Pay Chart'!K23*1.03</f>
        <v>2760.4</v>
      </c>
      <c r="L23" s="76">
        <f>'2024 Pay Chart'!L23*1.03</f>
        <v>2760.4</v>
      </c>
      <c r="M23" s="76">
        <f>'2024 Pay Chart'!M23*1.03</f>
        <v>2760.4</v>
      </c>
      <c r="N23" s="76">
        <f>'2024 Pay Chart'!N23*1.03</f>
        <v>2760.4</v>
      </c>
      <c r="O23" s="76">
        <f>'2024 Pay Chart'!O23*1.03</f>
        <v>2760.4</v>
      </c>
      <c r="P23" s="76">
        <f>'2024 Pay Chart'!P23*1.03</f>
        <v>2760.4</v>
      </c>
      <c r="Q23" s="76">
        <f>'2024 Pay Chart'!Q23*1.03</f>
        <v>2760.4</v>
      </c>
      <c r="R23" s="76">
        <f>'2024 Pay Chart'!R23*1.03</f>
        <v>2760.4</v>
      </c>
      <c r="S23" s="76">
        <f>'2024 Pay Chart'!S23*1.03</f>
        <v>2760.4</v>
      </c>
      <c r="T23" s="76">
        <f>'2024 Pay Chart'!T23*1.03</f>
        <v>2760.4</v>
      </c>
      <c r="U23" s="76">
        <f>'2024 Pay Chart'!U23*1.03</f>
        <v>2760.4</v>
      </c>
      <c r="V23" s="76">
        <f>'2024 Pay Chart'!V23*1.03</f>
        <v>2760.4</v>
      </c>
      <c r="W23" s="76">
        <f>'2024 Pay Chart'!W23*1.03</f>
        <v>2760.4</v>
      </c>
    </row>
    <row r="24" spans="1:23" ht="15.75" thickBot="1" x14ac:dyDescent="0.3">
      <c r="A24" s="13" t="s">
        <v>47</v>
      </c>
      <c r="B24" s="76">
        <f>'2024 Pay Chart'!B24*1.03</f>
        <v>2328.83</v>
      </c>
      <c r="C24" s="76">
        <f>'2024 Pay Chart'!C24*1.03</f>
        <v>2328.83</v>
      </c>
      <c r="D24" s="76">
        <f>'2024 Pay Chart'!D24*1.03</f>
        <v>2328.83</v>
      </c>
      <c r="E24" s="76">
        <f>'2024 Pay Chart'!E24*1.03</f>
        <v>2328.83</v>
      </c>
      <c r="F24" s="76">
        <f>'2024 Pay Chart'!F24*1.03</f>
        <v>2328.83</v>
      </c>
      <c r="G24" s="76">
        <f>'2024 Pay Chart'!G24*1.03</f>
        <v>2328.83</v>
      </c>
      <c r="H24" s="76">
        <f>'2024 Pay Chart'!H24*1.03</f>
        <v>2328.83</v>
      </c>
      <c r="I24" s="76">
        <f>'2024 Pay Chart'!I24*1.03</f>
        <v>2328.83</v>
      </c>
      <c r="J24" s="76">
        <f>'2024 Pay Chart'!J24*1.03</f>
        <v>2328.83</v>
      </c>
      <c r="K24" s="76">
        <f>'2024 Pay Chart'!K24*1.03</f>
        <v>2328.83</v>
      </c>
      <c r="L24" s="76">
        <f>'2024 Pay Chart'!L24*1.03</f>
        <v>2328.83</v>
      </c>
      <c r="M24" s="76">
        <f>'2024 Pay Chart'!M24*1.03</f>
        <v>2328.83</v>
      </c>
      <c r="N24" s="76">
        <f>'2024 Pay Chart'!N24*1.03</f>
        <v>2328.83</v>
      </c>
      <c r="O24" s="76">
        <f>'2024 Pay Chart'!O24*1.03</f>
        <v>2328.83</v>
      </c>
      <c r="P24" s="76">
        <f>'2024 Pay Chart'!P24*1.03</f>
        <v>2328.83</v>
      </c>
      <c r="Q24" s="76">
        <f>'2024 Pay Chart'!Q24*1.03</f>
        <v>2328.83</v>
      </c>
      <c r="R24" s="76">
        <f>'2024 Pay Chart'!R24*1.03</f>
        <v>2328.83</v>
      </c>
      <c r="S24" s="76">
        <f>'2024 Pay Chart'!S24*1.03</f>
        <v>2328.83</v>
      </c>
      <c r="T24" s="76">
        <f>'2024 Pay Chart'!T24*1.03</f>
        <v>2328.83</v>
      </c>
      <c r="U24" s="76">
        <f>'2024 Pay Chart'!U24*1.03</f>
        <v>2328.83</v>
      </c>
      <c r="V24" s="76">
        <f>'2024 Pay Chart'!V24*1.03</f>
        <v>2328.83</v>
      </c>
      <c r="W24" s="76">
        <f>'2024 Pay Chart'!W24*1.03</f>
        <v>2328.83</v>
      </c>
    </row>
    <row r="25" spans="1:23" ht="15.75" thickBot="1" x14ac:dyDescent="0.3">
      <c r="A25" s="13" t="s">
        <v>56</v>
      </c>
      <c r="B25" s="76">
        <f>'2024 Pay Chart'!B25*1.03</f>
        <v>2077.5100000000002</v>
      </c>
      <c r="C25" s="76">
        <f>'2024 Pay Chart'!C25*1.03</f>
        <v>2077.5100000000002</v>
      </c>
      <c r="D25" s="76">
        <f>'2024 Pay Chart'!D25*1.03</f>
        <v>2077.5100000000002</v>
      </c>
      <c r="E25" s="76">
        <f>'2024 Pay Chart'!E25*1.03</f>
        <v>2077.5100000000002</v>
      </c>
      <c r="F25" s="76">
        <f>'2024 Pay Chart'!F25*1.03</f>
        <v>2077.5100000000002</v>
      </c>
      <c r="G25" s="76">
        <f>'2024 Pay Chart'!G25*1.03</f>
        <v>2077.5100000000002</v>
      </c>
      <c r="H25" s="76">
        <f>'2024 Pay Chart'!H25*1.03</f>
        <v>2077.5100000000002</v>
      </c>
      <c r="I25" s="76">
        <f>'2024 Pay Chart'!I25*1.03</f>
        <v>2077.5100000000002</v>
      </c>
      <c r="J25" s="76">
        <f>'2024 Pay Chart'!J25*1.03</f>
        <v>2077.5100000000002</v>
      </c>
      <c r="K25" s="76">
        <f>'2024 Pay Chart'!K25*1.03</f>
        <v>2077.5100000000002</v>
      </c>
      <c r="L25" s="76">
        <f>'2024 Pay Chart'!L25*1.03</f>
        <v>2077.5100000000002</v>
      </c>
      <c r="M25" s="76">
        <f>'2024 Pay Chart'!M25*1.03</f>
        <v>2077.5100000000002</v>
      </c>
      <c r="N25" s="76">
        <f>'2024 Pay Chart'!N25*1.03</f>
        <v>2077.5100000000002</v>
      </c>
      <c r="O25" s="76">
        <f>'2024 Pay Chart'!O25*1.03</f>
        <v>2077.5100000000002</v>
      </c>
      <c r="P25" s="76">
        <f>'2024 Pay Chart'!P25*1.03</f>
        <v>2077.5100000000002</v>
      </c>
      <c r="Q25" s="76">
        <f>'2024 Pay Chart'!Q25*1.03</f>
        <v>2077.5100000000002</v>
      </c>
      <c r="R25" s="76">
        <f>'2024 Pay Chart'!R25*1.03</f>
        <v>2077.5100000000002</v>
      </c>
      <c r="S25" s="76">
        <f>'2024 Pay Chart'!S25*1.03</f>
        <v>2077.5100000000002</v>
      </c>
      <c r="T25" s="76">
        <f>'2024 Pay Chart'!T25*1.03</f>
        <v>2077.5100000000002</v>
      </c>
      <c r="U25" s="76">
        <f>'2024 Pay Chart'!U25*1.03</f>
        <v>2077.5100000000002</v>
      </c>
      <c r="V25" s="76">
        <f>'2024 Pay Chart'!V25*1.03</f>
        <v>2077.5100000000002</v>
      </c>
      <c r="W25" s="76">
        <f>'2024 Pay Chart'!W25*1.03</f>
        <v>2077.5100000000002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49200-5826-4089-92F0-6680C44F1FFC}">
  <sheetPr>
    <tabColor rgb="FF0070C0"/>
  </sheetPr>
  <dimension ref="A1:W25"/>
  <sheetViews>
    <sheetView workbookViewId="0">
      <selection activeCell="P13" sqref="P13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76">
        <v>18653</v>
      </c>
      <c r="C2" s="76">
        <v>18653</v>
      </c>
      <c r="D2" s="76">
        <v>18653</v>
      </c>
      <c r="E2" s="76">
        <v>18653</v>
      </c>
      <c r="F2" s="76">
        <v>18653</v>
      </c>
      <c r="G2" s="76">
        <v>18653</v>
      </c>
      <c r="H2" s="76">
        <v>18653</v>
      </c>
      <c r="I2" s="76">
        <v>18653</v>
      </c>
      <c r="J2" s="76">
        <v>18653</v>
      </c>
      <c r="K2" s="76">
        <v>18653</v>
      </c>
      <c r="L2" s="76">
        <v>18653</v>
      </c>
      <c r="M2" s="76">
        <v>18653</v>
      </c>
      <c r="N2" s="76">
        <v>18653</v>
      </c>
      <c r="O2" s="76">
        <v>18653</v>
      </c>
      <c r="P2" s="76">
        <v>18653</v>
      </c>
      <c r="Q2" s="76">
        <v>18653</v>
      </c>
      <c r="R2" s="76">
        <v>18653</v>
      </c>
      <c r="S2" s="76">
        <v>18653</v>
      </c>
      <c r="T2" s="76">
        <v>18653</v>
      </c>
      <c r="U2" s="76">
        <v>18653</v>
      </c>
      <c r="V2" s="76">
        <v>18653</v>
      </c>
      <c r="W2" s="76">
        <v>18653</v>
      </c>
    </row>
    <row r="3" spans="1:23" ht="15.75" thickBot="1" x14ac:dyDescent="0.3">
      <c r="A3" s="11" t="s">
        <v>49</v>
      </c>
      <c r="B3" s="76">
        <v>17552</v>
      </c>
      <c r="C3" s="76">
        <v>17552</v>
      </c>
      <c r="D3" s="76">
        <v>17552</v>
      </c>
      <c r="E3" s="76">
        <v>17552</v>
      </c>
      <c r="F3" s="76">
        <v>17552</v>
      </c>
      <c r="G3" s="76">
        <v>17552</v>
      </c>
      <c r="H3" s="76">
        <v>17552</v>
      </c>
      <c r="I3" s="76">
        <v>17552</v>
      </c>
      <c r="J3" s="76">
        <v>17552</v>
      </c>
      <c r="K3" s="76">
        <v>17552</v>
      </c>
      <c r="L3" s="76">
        <v>17552</v>
      </c>
      <c r="M3" s="76">
        <v>17552</v>
      </c>
      <c r="N3" s="76">
        <v>17805</v>
      </c>
      <c r="O3" s="76">
        <v>18170</v>
      </c>
      <c r="P3" s="76">
        <v>18653</v>
      </c>
      <c r="Q3" s="76">
        <v>18653</v>
      </c>
      <c r="R3" s="76">
        <v>18653</v>
      </c>
      <c r="S3" s="76">
        <v>18653</v>
      </c>
      <c r="T3" s="76">
        <v>18653</v>
      </c>
      <c r="U3" s="76">
        <v>18653</v>
      </c>
      <c r="V3" s="76">
        <v>18653</v>
      </c>
      <c r="W3" s="76">
        <v>18653</v>
      </c>
    </row>
    <row r="4" spans="1:23" ht="15.75" thickBot="1" x14ac:dyDescent="0.3">
      <c r="A4" s="11" t="s">
        <v>50</v>
      </c>
      <c r="B4" s="76">
        <v>12804</v>
      </c>
      <c r="C4" s="76">
        <v>13223</v>
      </c>
      <c r="D4" s="76">
        <v>13502</v>
      </c>
      <c r="E4" s="76">
        <v>13579</v>
      </c>
      <c r="F4" s="76">
        <v>13927</v>
      </c>
      <c r="G4" s="76">
        <v>14507</v>
      </c>
      <c r="H4" s="76">
        <v>14642</v>
      </c>
      <c r="I4" s="76">
        <v>15193</v>
      </c>
      <c r="J4" s="76">
        <v>15351</v>
      </c>
      <c r="K4" s="76">
        <v>15826</v>
      </c>
      <c r="L4" s="76">
        <v>16513</v>
      </c>
      <c r="M4" s="76">
        <v>17146</v>
      </c>
      <c r="N4" s="76">
        <v>17569</v>
      </c>
      <c r="O4" s="76">
        <v>17569</v>
      </c>
      <c r="P4" s="76">
        <v>17569</v>
      </c>
      <c r="Q4" s="76">
        <v>17569</v>
      </c>
      <c r="R4" s="76">
        <v>18009</v>
      </c>
      <c r="S4" s="76">
        <v>18009</v>
      </c>
      <c r="T4" s="76">
        <v>18458</v>
      </c>
      <c r="U4" s="76">
        <v>18458</v>
      </c>
      <c r="V4" s="76">
        <v>18458</v>
      </c>
      <c r="W4" s="76">
        <v>18458</v>
      </c>
    </row>
    <row r="5" spans="1:23" ht="15.75" thickBot="1" x14ac:dyDescent="0.3">
      <c r="A5" s="11" t="s">
        <v>51</v>
      </c>
      <c r="B5" s="76">
        <v>10639</v>
      </c>
      <c r="C5" s="76">
        <v>11133</v>
      </c>
      <c r="D5" s="76">
        <v>11362</v>
      </c>
      <c r="E5" s="76">
        <v>11544</v>
      </c>
      <c r="F5" s="76">
        <v>11873</v>
      </c>
      <c r="G5" s="76">
        <v>12198</v>
      </c>
      <c r="H5" s="76">
        <v>12574</v>
      </c>
      <c r="I5" s="76">
        <v>12949</v>
      </c>
      <c r="J5" s="76">
        <v>13325</v>
      </c>
      <c r="K5" s="76">
        <v>14507</v>
      </c>
      <c r="L5" s="76">
        <v>15504</v>
      </c>
      <c r="M5" s="76">
        <v>15504</v>
      </c>
      <c r="N5" s="76">
        <v>15504</v>
      </c>
      <c r="O5" s="76">
        <v>15504</v>
      </c>
      <c r="P5" s="76">
        <v>15584</v>
      </c>
      <c r="Q5" s="76">
        <v>15584</v>
      </c>
      <c r="R5" s="76">
        <v>15896</v>
      </c>
      <c r="S5" s="76">
        <v>15896</v>
      </c>
      <c r="T5" s="76">
        <v>15896</v>
      </c>
      <c r="U5" s="76">
        <v>15896</v>
      </c>
      <c r="V5" s="76">
        <v>15896</v>
      </c>
      <c r="W5" s="76">
        <v>15896</v>
      </c>
    </row>
    <row r="6" spans="1:23" ht="15.75" thickBot="1" x14ac:dyDescent="0.3">
      <c r="A6" s="11" t="s">
        <v>52</v>
      </c>
      <c r="B6" s="76">
        <v>8068</v>
      </c>
      <c r="C6" s="76">
        <v>8864</v>
      </c>
      <c r="D6" s="76">
        <v>9445</v>
      </c>
      <c r="E6" s="76">
        <v>9445</v>
      </c>
      <c r="F6" s="76">
        <v>9481</v>
      </c>
      <c r="G6" s="76">
        <v>9888</v>
      </c>
      <c r="H6" s="76">
        <v>9941</v>
      </c>
      <c r="I6" s="76">
        <v>9941</v>
      </c>
      <c r="J6" s="76">
        <v>10506</v>
      </c>
      <c r="K6" s="76">
        <v>11505</v>
      </c>
      <c r="L6" s="76">
        <v>12091</v>
      </c>
      <c r="M6" s="76">
        <v>12677</v>
      </c>
      <c r="N6" s="76">
        <v>13011</v>
      </c>
      <c r="O6" s="76">
        <v>13349</v>
      </c>
      <c r="P6" s="76">
        <v>14003</v>
      </c>
      <c r="Q6" s="76">
        <v>14003</v>
      </c>
      <c r="R6" s="76">
        <v>14283</v>
      </c>
      <c r="S6" s="76">
        <v>14283</v>
      </c>
      <c r="T6" s="76">
        <v>14283</v>
      </c>
      <c r="U6" s="76">
        <v>14283</v>
      </c>
      <c r="V6" s="76">
        <v>14283</v>
      </c>
      <c r="W6" s="76">
        <v>14283</v>
      </c>
    </row>
    <row r="7" spans="1:23" ht="15.75" thickBot="1" x14ac:dyDescent="0.3">
      <c r="A7" s="11" t="s">
        <v>33</v>
      </c>
      <c r="B7" s="76">
        <v>6726</v>
      </c>
      <c r="C7" s="76">
        <v>7577</v>
      </c>
      <c r="D7" s="76">
        <v>8101</v>
      </c>
      <c r="E7" s="76">
        <v>8200</v>
      </c>
      <c r="F7" s="76">
        <v>8527</v>
      </c>
      <c r="G7" s="76">
        <v>8723</v>
      </c>
      <c r="H7" s="76">
        <v>9153</v>
      </c>
      <c r="I7" s="76">
        <v>9470</v>
      </c>
      <c r="J7" s="76">
        <v>9878</v>
      </c>
      <c r="K7" s="76">
        <v>10502</v>
      </c>
      <c r="L7" s="76">
        <v>10799</v>
      </c>
      <c r="M7" s="76">
        <v>11093</v>
      </c>
      <c r="N7" s="76">
        <v>11427</v>
      </c>
      <c r="O7" s="76">
        <v>11427</v>
      </c>
      <c r="P7" s="76">
        <v>11427</v>
      </c>
      <c r="Q7" s="76">
        <v>11427</v>
      </c>
      <c r="R7" s="76">
        <v>11128</v>
      </c>
      <c r="S7" s="76">
        <v>11128</v>
      </c>
      <c r="T7" s="76">
        <v>11684</v>
      </c>
      <c r="U7" s="76">
        <v>11684</v>
      </c>
      <c r="V7" s="76">
        <v>12269</v>
      </c>
      <c r="W7" s="76">
        <v>12269</v>
      </c>
    </row>
    <row r="8" spans="1:23" ht="15.75" thickBot="1" x14ac:dyDescent="0.3">
      <c r="A8" s="11" t="s">
        <v>34</v>
      </c>
      <c r="B8" s="76">
        <v>5803</v>
      </c>
      <c r="C8" s="76">
        <v>6717</v>
      </c>
      <c r="D8" s="76">
        <v>7166</v>
      </c>
      <c r="E8" s="76">
        <v>7265</v>
      </c>
      <c r="F8" s="76">
        <v>7682</v>
      </c>
      <c r="G8" s="76">
        <v>8128</v>
      </c>
      <c r="H8" s="76">
        <v>8684</v>
      </c>
      <c r="I8" s="76">
        <v>9116</v>
      </c>
      <c r="J8" s="76">
        <v>9417</v>
      </c>
      <c r="K8" s="76">
        <v>9589</v>
      </c>
      <c r="L8" s="76">
        <v>9689</v>
      </c>
      <c r="M8" s="76">
        <v>9689</v>
      </c>
      <c r="N8" s="76">
        <v>9689</v>
      </c>
      <c r="O8" s="76">
        <v>9689</v>
      </c>
      <c r="P8" s="76">
        <v>9689</v>
      </c>
      <c r="Q8" s="76">
        <v>9689</v>
      </c>
      <c r="R8" s="76">
        <v>9822</v>
      </c>
      <c r="S8" s="76">
        <v>9822</v>
      </c>
      <c r="T8" s="76">
        <v>9822</v>
      </c>
      <c r="U8" s="76">
        <v>9822</v>
      </c>
      <c r="V8" s="76">
        <v>9822</v>
      </c>
      <c r="W8" s="76">
        <v>9822</v>
      </c>
    </row>
    <row r="9" spans="1:23" ht="15.75" thickBot="1" x14ac:dyDescent="0.3">
      <c r="A9" s="11" t="s">
        <v>53</v>
      </c>
      <c r="B9" s="76">
        <v>5102</v>
      </c>
      <c r="C9" s="76">
        <v>5783</v>
      </c>
      <c r="D9" s="76">
        <v>6242</v>
      </c>
      <c r="E9" s="76">
        <v>6806</v>
      </c>
      <c r="F9" s="76">
        <v>7133</v>
      </c>
      <c r="G9" s="76">
        <v>7490</v>
      </c>
      <c r="H9" s="76">
        <v>7722</v>
      </c>
      <c r="I9" s="76">
        <v>8102</v>
      </c>
      <c r="J9" s="76">
        <v>8301</v>
      </c>
      <c r="K9" s="76">
        <v>8301</v>
      </c>
      <c r="L9" s="76">
        <v>8301</v>
      </c>
      <c r="M9" s="76">
        <v>8301</v>
      </c>
      <c r="N9" s="76">
        <v>8301</v>
      </c>
      <c r="O9" s="76">
        <v>8301</v>
      </c>
      <c r="P9" s="76">
        <v>8301</v>
      </c>
      <c r="Q9" s="76">
        <v>8301</v>
      </c>
      <c r="R9" s="76">
        <v>8301</v>
      </c>
      <c r="S9" s="76">
        <v>8301</v>
      </c>
      <c r="T9" s="76">
        <v>8301</v>
      </c>
      <c r="U9" s="76">
        <v>8301</v>
      </c>
      <c r="V9" s="76">
        <v>8301</v>
      </c>
      <c r="W9" s="76">
        <v>8301</v>
      </c>
    </row>
    <row r="10" spans="1:23" ht="15.75" thickBot="1" x14ac:dyDescent="0.3">
      <c r="A10" s="11" t="s">
        <v>54</v>
      </c>
      <c r="B10" s="76">
        <v>4409</v>
      </c>
      <c r="C10" s="76">
        <v>5021</v>
      </c>
      <c r="D10" s="76">
        <v>5782</v>
      </c>
      <c r="E10" s="76">
        <v>5978</v>
      </c>
      <c r="F10" s="76">
        <v>6101</v>
      </c>
      <c r="G10" s="76">
        <v>6101</v>
      </c>
      <c r="H10" s="76">
        <v>6101</v>
      </c>
      <c r="I10" s="76">
        <v>6101</v>
      </c>
      <c r="J10" s="76">
        <v>6101</v>
      </c>
      <c r="K10" s="76">
        <v>6101</v>
      </c>
      <c r="L10" s="76">
        <v>6101</v>
      </c>
      <c r="M10" s="76">
        <v>6101</v>
      </c>
      <c r="N10" s="76">
        <v>6101</v>
      </c>
      <c r="O10" s="76">
        <v>6101</v>
      </c>
      <c r="P10" s="76">
        <v>6101</v>
      </c>
      <c r="Q10" s="76">
        <v>6101</v>
      </c>
      <c r="R10" s="76">
        <v>6101</v>
      </c>
      <c r="S10" s="76">
        <v>6101</v>
      </c>
      <c r="T10" s="76">
        <v>6101</v>
      </c>
      <c r="U10" s="76">
        <v>6101</v>
      </c>
      <c r="V10" s="76">
        <v>6101</v>
      </c>
      <c r="W10" s="76">
        <v>6101</v>
      </c>
    </row>
    <row r="11" spans="1:23" ht="15.75" thickBot="1" x14ac:dyDescent="0.3">
      <c r="A11" s="11" t="s">
        <v>55</v>
      </c>
      <c r="B11" s="76">
        <v>3826</v>
      </c>
      <c r="C11" s="76">
        <v>3983</v>
      </c>
      <c r="D11" s="76">
        <v>4815</v>
      </c>
      <c r="E11" s="76">
        <v>4815</v>
      </c>
      <c r="F11" s="76">
        <v>4815</v>
      </c>
      <c r="G11" s="76">
        <v>4815</v>
      </c>
      <c r="H11" s="76">
        <v>4815</v>
      </c>
      <c r="I11" s="76">
        <v>4815</v>
      </c>
      <c r="J11" s="76">
        <v>4815</v>
      </c>
      <c r="K11" s="76">
        <v>4815</v>
      </c>
      <c r="L11" s="76">
        <v>4815</v>
      </c>
      <c r="M11" s="76">
        <v>4815</v>
      </c>
      <c r="N11" s="76">
        <v>4815</v>
      </c>
      <c r="O11" s="76">
        <v>4815</v>
      </c>
      <c r="P11" s="76">
        <v>4815</v>
      </c>
      <c r="Q11" s="76">
        <v>4815</v>
      </c>
      <c r="R11" s="76">
        <v>4815</v>
      </c>
      <c r="S11" s="76">
        <v>4815</v>
      </c>
      <c r="T11" s="76">
        <v>4815</v>
      </c>
      <c r="U11" s="76">
        <v>4815</v>
      </c>
      <c r="V11" s="76">
        <v>4815</v>
      </c>
      <c r="W11" s="76">
        <v>4815</v>
      </c>
    </row>
    <row r="12" spans="1:23" ht="15.75" thickBot="1" x14ac:dyDescent="0.3">
      <c r="A12" s="13" t="s">
        <v>35</v>
      </c>
      <c r="B12" s="76">
        <v>9376</v>
      </c>
      <c r="C12" s="76">
        <v>9376</v>
      </c>
      <c r="D12" s="76">
        <v>9376</v>
      </c>
      <c r="E12" s="76">
        <v>9376</v>
      </c>
      <c r="F12" s="76">
        <v>9376</v>
      </c>
      <c r="G12" s="76">
        <v>9376</v>
      </c>
      <c r="H12" s="76">
        <v>9376</v>
      </c>
      <c r="I12" s="76">
        <v>9376</v>
      </c>
      <c r="J12" s="76">
        <v>9376</v>
      </c>
      <c r="K12" s="76">
        <v>9376</v>
      </c>
      <c r="L12" s="76">
        <v>9376</v>
      </c>
      <c r="M12" s="76">
        <v>9376</v>
      </c>
      <c r="N12" s="76">
        <v>9851</v>
      </c>
      <c r="O12" s="76">
        <v>10205</v>
      </c>
      <c r="P12" s="76">
        <v>10597</v>
      </c>
      <c r="Q12" s="76">
        <v>10597</v>
      </c>
      <c r="R12" s="76">
        <v>10597</v>
      </c>
      <c r="S12" s="76">
        <v>10597</v>
      </c>
      <c r="T12" s="76">
        <v>10597</v>
      </c>
      <c r="U12" s="76">
        <v>10597</v>
      </c>
      <c r="V12" s="76">
        <v>10597</v>
      </c>
      <c r="W12" s="76">
        <v>10597</v>
      </c>
    </row>
    <row r="13" spans="1:23" ht="15.75" thickBot="1" x14ac:dyDescent="0.3">
      <c r="A13" s="13" t="s">
        <v>36</v>
      </c>
      <c r="B13" s="76">
        <v>5273</v>
      </c>
      <c r="C13" s="76">
        <v>5672</v>
      </c>
      <c r="D13" s="76">
        <v>5835</v>
      </c>
      <c r="E13" s="76">
        <v>5995</v>
      </c>
      <c r="F13" s="76">
        <v>6271</v>
      </c>
      <c r="G13" s="76">
        <v>6544</v>
      </c>
      <c r="H13" s="76">
        <v>6820</v>
      </c>
      <c r="I13" s="76">
        <v>7235</v>
      </c>
      <c r="J13" s="76">
        <v>7600</v>
      </c>
      <c r="K13" s="76">
        <v>7947</v>
      </c>
      <c r="L13" s="76">
        <v>8231</v>
      </c>
      <c r="M13" s="76">
        <v>8508</v>
      </c>
      <c r="N13" s="76">
        <v>8914</v>
      </c>
      <c r="O13" s="76">
        <v>9248</v>
      </c>
      <c r="P13" s="76">
        <v>9630</v>
      </c>
      <c r="Q13" s="76">
        <v>9630</v>
      </c>
      <c r="R13" s="76">
        <v>9630</v>
      </c>
      <c r="S13" s="76">
        <v>9630</v>
      </c>
      <c r="T13" s="76">
        <v>9630</v>
      </c>
      <c r="U13" s="76">
        <v>9630</v>
      </c>
      <c r="V13" s="76">
        <v>9630</v>
      </c>
      <c r="W13" s="76">
        <v>9630</v>
      </c>
    </row>
    <row r="14" spans="1:23" ht="15.75" thickBot="1" x14ac:dyDescent="0.3">
      <c r="A14" s="13" t="s">
        <v>37</v>
      </c>
      <c r="B14" s="76">
        <v>4815</v>
      </c>
      <c r="C14" s="76">
        <v>5016</v>
      </c>
      <c r="D14" s="76">
        <v>5222</v>
      </c>
      <c r="E14" s="76">
        <v>5290</v>
      </c>
      <c r="F14" s="76">
        <v>5504</v>
      </c>
      <c r="G14" s="76">
        <v>5929</v>
      </c>
      <c r="H14" s="76">
        <v>6371</v>
      </c>
      <c r="I14" s="76">
        <v>6579</v>
      </c>
      <c r="J14" s="76">
        <v>6820</v>
      </c>
      <c r="K14" s="76">
        <v>7067</v>
      </c>
      <c r="L14" s="76">
        <v>7514</v>
      </c>
      <c r="M14" s="76">
        <v>7815</v>
      </c>
      <c r="N14" s="76">
        <v>7995</v>
      </c>
      <c r="O14" s="76">
        <v>8186</v>
      </c>
      <c r="P14" s="76">
        <v>8447</v>
      </c>
      <c r="Q14" s="76">
        <v>8447</v>
      </c>
      <c r="R14" s="76">
        <v>8447</v>
      </c>
      <c r="S14" s="76">
        <v>8447</v>
      </c>
      <c r="T14" s="76">
        <v>8447</v>
      </c>
      <c r="U14" s="76">
        <v>8447</v>
      </c>
      <c r="V14" s="76">
        <v>8447</v>
      </c>
      <c r="W14" s="76">
        <v>8447</v>
      </c>
    </row>
    <row r="15" spans="1:23" ht="15.75" thickBot="1" x14ac:dyDescent="0.3">
      <c r="A15" s="13" t="s">
        <v>38</v>
      </c>
      <c r="B15" s="76">
        <v>4261</v>
      </c>
      <c r="C15" s="76">
        <v>4664</v>
      </c>
      <c r="D15" s="76">
        <v>4788</v>
      </c>
      <c r="E15" s="76">
        <v>4873</v>
      </c>
      <c r="F15" s="76">
        <v>5149</v>
      </c>
      <c r="G15" s="76">
        <v>5579</v>
      </c>
      <c r="H15" s="76">
        <v>5792</v>
      </c>
      <c r="I15" s="76">
        <v>6001</v>
      </c>
      <c r="J15" s="76">
        <v>6257</v>
      </c>
      <c r="K15" s="76">
        <v>6458</v>
      </c>
      <c r="L15" s="76">
        <v>6639</v>
      </c>
      <c r="M15" s="76">
        <v>6856</v>
      </c>
      <c r="N15" s="76">
        <v>6999</v>
      </c>
      <c r="O15" s="76">
        <v>7112</v>
      </c>
      <c r="P15" s="76">
        <v>7112</v>
      </c>
      <c r="Q15" s="76">
        <v>7112</v>
      </c>
      <c r="R15" s="76">
        <v>7112</v>
      </c>
      <c r="S15" s="76">
        <v>7112</v>
      </c>
      <c r="T15" s="76">
        <v>7112</v>
      </c>
      <c r="U15" s="76">
        <v>7112</v>
      </c>
      <c r="V15" s="76">
        <v>7112</v>
      </c>
      <c r="W15" s="76">
        <v>7112</v>
      </c>
    </row>
    <row r="16" spans="1:23" ht="15.75" thickBot="1" x14ac:dyDescent="0.3">
      <c r="A16" s="13" t="s">
        <v>39</v>
      </c>
      <c r="B16" s="76">
        <v>3740</v>
      </c>
      <c r="C16" s="76">
        <v>4143</v>
      </c>
      <c r="D16" s="76">
        <v>4251</v>
      </c>
      <c r="E16" s="76">
        <v>4479</v>
      </c>
      <c r="F16" s="76">
        <v>4750</v>
      </c>
      <c r="G16" s="76">
        <v>5149</v>
      </c>
      <c r="H16" s="76">
        <v>5335</v>
      </c>
      <c r="I16" s="76">
        <v>5595</v>
      </c>
      <c r="J16" s="76">
        <v>5851</v>
      </c>
      <c r="K16" s="76">
        <v>6052</v>
      </c>
      <c r="L16" s="76">
        <v>6237</v>
      </c>
      <c r="M16" s="76">
        <v>6463</v>
      </c>
      <c r="N16" s="76">
        <v>6463</v>
      </c>
      <c r="O16" s="76">
        <v>6463</v>
      </c>
      <c r="P16" s="76">
        <v>6463</v>
      </c>
      <c r="Q16" s="76">
        <v>6463</v>
      </c>
      <c r="R16" s="76">
        <v>6463</v>
      </c>
      <c r="S16" s="76">
        <v>6463</v>
      </c>
      <c r="T16" s="76">
        <v>6463</v>
      </c>
      <c r="U16" s="76">
        <v>6463</v>
      </c>
      <c r="V16" s="76">
        <v>6463</v>
      </c>
      <c r="W16" s="76">
        <v>6463</v>
      </c>
    </row>
    <row r="17" spans="1:23" ht="15.75" thickBot="1" x14ac:dyDescent="0.3">
      <c r="A17" s="13" t="s">
        <v>40</v>
      </c>
      <c r="B17" s="76">
        <v>6370</v>
      </c>
      <c r="C17" s="76">
        <v>6370</v>
      </c>
      <c r="D17" s="76">
        <v>6370</v>
      </c>
      <c r="E17" s="76">
        <v>6370</v>
      </c>
      <c r="F17" s="76">
        <v>6370</v>
      </c>
      <c r="G17" s="76">
        <v>6370</v>
      </c>
      <c r="H17" s="76">
        <v>6370</v>
      </c>
      <c r="I17" s="76">
        <v>6515</v>
      </c>
      <c r="J17" s="76">
        <v>6697</v>
      </c>
      <c r="K17" s="76">
        <v>6910</v>
      </c>
      <c r="L17" s="76">
        <v>7127</v>
      </c>
      <c r="M17" s="76">
        <v>7472</v>
      </c>
      <c r="N17" s="76">
        <v>7765</v>
      </c>
      <c r="O17" s="76">
        <v>8073</v>
      </c>
      <c r="P17" s="76">
        <v>8544</v>
      </c>
      <c r="Q17" s="76">
        <v>8544</v>
      </c>
      <c r="R17" s="76">
        <v>8970</v>
      </c>
      <c r="S17" s="76">
        <v>8970</v>
      </c>
      <c r="T17" s="76">
        <v>9419</v>
      </c>
      <c r="U17" s="76">
        <v>9419</v>
      </c>
      <c r="V17" s="76">
        <v>9891</v>
      </c>
      <c r="W17" s="76">
        <v>9891</v>
      </c>
    </row>
    <row r="18" spans="1:23" ht="15.75" thickBot="1" x14ac:dyDescent="0.3">
      <c r="A18" s="13" t="s">
        <v>41</v>
      </c>
      <c r="B18" s="76">
        <v>5215</v>
      </c>
      <c r="C18" s="76">
        <v>5215</v>
      </c>
      <c r="D18" s="76">
        <v>5215</v>
      </c>
      <c r="E18" s="76">
        <v>5215</v>
      </c>
      <c r="F18" s="76">
        <v>5215</v>
      </c>
      <c r="G18" s="76">
        <v>5215</v>
      </c>
      <c r="H18" s="76">
        <v>5445</v>
      </c>
      <c r="I18" s="76">
        <v>5588</v>
      </c>
      <c r="J18" s="76">
        <v>5759</v>
      </c>
      <c r="K18" s="76">
        <v>5945</v>
      </c>
      <c r="L18" s="76">
        <v>6279</v>
      </c>
      <c r="M18" s="76">
        <v>6449</v>
      </c>
      <c r="N18" s="76">
        <v>6737</v>
      </c>
      <c r="O18" s="76">
        <v>6897</v>
      </c>
      <c r="P18" s="76">
        <v>7291</v>
      </c>
      <c r="Q18" s="76">
        <v>7291</v>
      </c>
      <c r="R18" s="76">
        <v>7438</v>
      </c>
      <c r="S18" s="76">
        <v>7438</v>
      </c>
      <c r="T18" s="76">
        <v>7438</v>
      </c>
      <c r="U18" s="76">
        <v>7438</v>
      </c>
      <c r="V18" s="76">
        <v>7438</v>
      </c>
      <c r="W18" s="76">
        <v>7438</v>
      </c>
    </row>
    <row r="19" spans="1:23" ht="15.75" thickBot="1" x14ac:dyDescent="0.3">
      <c r="A19" s="13" t="s">
        <v>42</v>
      </c>
      <c r="B19" s="76">
        <v>3625</v>
      </c>
      <c r="C19" s="76">
        <v>3956</v>
      </c>
      <c r="D19" s="76">
        <v>4108</v>
      </c>
      <c r="E19" s="76">
        <v>4308</v>
      </c>
      <c r="F19" s="76">
        <v>4465</v>
      </c>
      <c r="G19" s="76">
        <v>4734</v>
      </c>
      <c r="H19" s="76">
        <v>4886</v>
      </c>
      <c r="I19" s="76">
        <v>5155</v>
      </c>
      <c r="J19" s="76">
        <v>5380</v>
      </c>
      <c r="K19" s="76">
        <v>5532</v>
      </c>
      <c r="L19" s="76">
        <v>5695</v>
      </c>
      <c r="M19" s="76">
        <v>5758</v>
      </c>
      <c r="N19" s="76">
        <v>5970</v>
      </c>
      <c r="O19" s="76">
        <v>6083</v>
      </c>
      <c r="P19" s="76">
        <v>6515</v>
      </c>
      <c r="Q19" s="76">
        <v>6515</v>
      </c>
      <c r="R19" s="76">
        <v>6515</v>
      </c>
      <c r="S19" s="76">
        <v>6515</v>
      </c>
      <c r="T19" s="76">
        <v>6515</v>
      </c>
      <c r="U19" s="76">
        <v>6515</v>
      </c>
      <c r="V19" s="76">
        <v>6515</v>
      </c>
      <c r="W19" s="76">
        <v>6515</v>
      </c>
    </row>
    <row r="20" spans="1:23" ht="15.75" thickBot="1" x14ac:dyDescent="0.3">
      <c r="A20" s="13" t="s">
        <v>43</v>
      </c>
      <c r="B20" s="76">
        <v>3135</v>
      </c>
      <c r="C20" s="76">
        <v>3450</v>
      </c>
      <c r="D20" s="76">
        <v>3603</v>
      </c>
      <c r="E20" s="76">
        <v>3751</v>
      </c>
      <c r="F20" s="76">
        <v>3905</v>
      </c>
      <c r="G20" s="76">
        <v>4252</v>
      </c>
      <c r="H20" s="76">
        <v>4388</v>
      </c>
      <c r="I20" s="76">
        <v>4650</v>
      </c>
      <c r="J20" s="76">
        <v>4730</v>
      </c>
      <c r="K20" s="76">
        <v>4788</v>
      </c>
      <c r="L20" s="76">
        <v>4856</v>
      </c>
      <c r="M20" s="76">
        <v>4856</v>
      </c>
      <c r="N20" s="76">
        <v>4856</v>
      </c>
      <c r="O20" s="76">
        <v>4856</v>
      </c>
      <c r="P20" s="76">
        <v>4856</v>
      </c>
      <c r="Q20" s="76">
        <v>4856</v>
      </c>
      <c r="R20" s="76">
        <v>4856</v>
      </c>
      <c r="S20" s="76">
        <v>4856</v>
      </c>
      <c r="T20" s="76">
        <v>4856</v>
      </c>
      <c r="U20" s="76">
        <v>4856</v>
      </c>
      <c r="V20" s="76">
        <v>4856</v>
      </c>
      <c r="W20" s="76">
        <v>4856</v>
      </c>
    </row>
    <row r="21" spans="1:23" ht="15.75" thickBot="1" x14ac:dyDescent="0.3">
      <c r="A21" s="13" t="s">
        <v>44</v>
      </c>
      <c r="B21" s="76">
        <v>2872</v>
      </c>
      <c r="C21" s="76">
        <v>3066</v>
      </c>
      <c r="D21" s="76">
        <v>3214</v>
      </c>
      <c r="E21" s="76">
        <v>3366</v>
      </c>
      <c r="F21" s="76">
        <v>3602</v>
      </c>
      <c r="G21" s="76">
        <v>3849</v>
      </c>
      <c r="H21" s="76">
        <v>4052</v>
      </c>
      <c r="I21" s="76">
        <v>4076</v>
      </c>
      <c r="J21" s="76">
        <v>4076</v>
      </c>
      <c r="K21" s="76">
        <v>4076</v>
      </c>
      <c r="L21" s="76">
        <v>4076</v>
      </c>
      <c r="M21" s="76">
        <v>4076</v>
      </c>
      <c r="N21" s="76">
        <v>4076</v>
      </c>
      <c r="O21" s="76">
        <v>4076</v>
      </c>
      <c r="P21" s="76">
        <v>4076</v>
      </c>
      <c r="Q21" s="76">
        <v>4076</v>
      </c>
      <c r="R21" s="76">
        <v>4076</v>
      </c>
      <c r="S21" s="76">
        <v>4076</v>
      </c>
      <c r="T21" s="76">
        <v>4076</v>
      </c>
      <c r="U21" s="76">
        <v>4076</v>
      </c>
      <c r="V21" s="76">
        <v>4076</v>
      </c>
      <c r="W21" s="76">
        <v>4076</v>
      </c>
    </row>
    <row r="22" spans="1:23" ht="15.75" thickBot="1" x14ac:dyDescent="0.3">
      <c r="A22" s="13" t="s">
        <v>45</v>
      </c>
      <c r="B22" s="76">
        <v>2634</v>
      </c>
      <c r="C22" s="76">
        <v>2769</v>
      </c>
      <c r="D22" s="76">
        <v>2918</v>
      </c>
      <c r="E22" s="76">
        <v>3067</v>
      </c>
      <c r="F22" s="76">
        <v>3197</v>
      </c>
      <c r="G22" s="76">
        <v>3197</v>
      </c>
      <c r="H22" s="76">
        <v>3197</v>
      </c>
      <c r="I22" s="76">
        <v>3197</v>
      </c>
      <c r="J22" s="76">
        <v>3197</v>
      </c>
      <c r="K22" s="76">
        <v>3197</v>
      </c>
      <c r="L22" s="76">
        <v>3197</v>
      </c>
      <c r="M22" s="76">
        <v>3197</v>
      </c>
      <c r="N22" s="76">
        <v>3197</v>
      </c>
      <c r="O22" s="76">
        <v>3197</v>
      </c>
      <c r="P22" s="76">
        <v>3197</v>
      </c>
      <c r="Q22" s="76">
        <v>3197</v>
      </c>
      <c r="R22" s="76">
        <v>3197</v>
      </c>
      <c r="S22" s="76">
        <v>3197</v>
      </c>
      <c r="T22" s="76">
        <v>3197</v>
      </c>
      <c r="U22" s="76">
        <v>3197</v>
      </c>
      <c r="V22" s="76">
        <v>3197</v>
      </c>
      <c r="W22" s="76">
        <v>3197</v>
      </c>
    </row>
    <row r="23" spans="1:23" ht="15.75" thickBot="1" x14ac:dyDescent="0.3">
      <c r="A23" s="13" t="s">
        <v>46</v>
      </c>
      <c r="B23" s="76">
        <v>2378</v>
      </c>
      <c r="C23" s="76">
        <v>2527</v>
      </c>
      <c r="D23" s="76">
        <v>2680</v>
      </c>
      <c r="E23" s="76">
        <v>2680</v>
      </c>
      <c r="F23" s="76">
        <v>2680</v>
      </c>
      <c r="G23" s="76">
        <v>2680</v>
      </c>
      <c r="H23" s="76">
        <v>2680</v>
      </c>
      <c r="I23" s="76">
        <v>2680</v>
      </c>
      <c r="J23" s="76">
        <v>2680</v>
      </c>
      <c r="K23" s="76">
        <v>2680</v>
      </c>
      <c r="L23" s="76">
        <v>2680</v>
      </c>
      <c r="M23" s="76">
        <v>2680</v>
      </c>
      <c r="N23" s="76">
        <v>2680</v>
      </c>
      <c r="O23" s="76">
        <v>2680</v>
      </c>
      <c r="P23" s="76">
        <v>2680</v>
      </c>
      <c r="Q23" s="76">
        <v>2680</v>
      </c>
      <c r="R23" s="76">
        <v>2680</v>
      </c>
      <c r="S23" s="76">
        <v>2680</v>
      </c>
      <c r="T23" s="76">
        <v>2680</v>
      </c>
      <c r="U23" s="76">
        <v>2680</v>
      </c>
      <c r="V23" s="76">
        <v>2680</v>
      </c>
      <c r="W23" s="76">
        <v>2680</v>
      </c>
    </row>
    <row r="24" spans="1:23" ht="15.75" thickBot="1" x14ac:dyDescent="0.3">
      <c r="A24" s="13" t="s">
        <v>47</v>
      </c>
      <c r="B24" s="76">
        <v>2261</v>
      </c>
      <c r="C24" s="76">
        <v>2261</v>
      </c>
      <c r="D24" s="76">
        <v>2261</v>
      </c>
      <c r="E24" s="76">
        <v>2261</v>
      </c>
      <c r="F24" s="76">
        <v>2261</v>
      </c>
      <c r="G24" s="76">
        <v>2261</v>
      </c>
      <c r="H24" s="76">
        <v>2261</v>
      </c>
      <c r="I24" s="76">
        <v>2261</v>
      </c>
      <c r="J24" s="76">
        <v>2261</v>
      </c>
      <c r="K24" s="76">
        <v>2261</v>
      </c>
      <c r="L24" s="76">
        <v>2261</v>
      </c>
      <c r="M24" s="76">
        <v>2261</v>
      </c>
      <c r="N24" s="76">
        <v>2261</v>
      </c>
      <c r="O24" s="76">
        <v>2261</v>
      </c>
      <c r="P24" s="76">
        <v>2261</v>
      </c>
      <c r="Q24" s="76">
        <v>2261</v>
      </c>
      <c r="R24" s="76">
        <v>2261</v>
      </c>
      <c r="S24" s="76">
        <v>2261</v>
      </c>
      <c r="T24" s="76">
        <v>2261</v>
      </c>
      <c r="U24" s="76">
        <v>2261</v>
      </c>
      <c r="V24" s="76">
        <v>2261</v>
      </c>
      <c r="W24" s="76">
        <v>2261</v>
      </c>
    </row>
    <row r="25" spans="1:23" ht="15.75" thickBot="1" x14ac:dyDescent="0.3">
      <c r="A25" s="13" t="s">
        <v>56</v>
      </c>
      <c r="B25" s="76">
        <v>2017</v>
      </c>
      <c r="C25" s="76">
        <v>2017</v>
      </c>
      <c r="D25" s="76">
        <v>2017</v>
      </c>
      <c r="E25" s="76">
        <v>2017</v>
      </c>
      <c r="F25" s="76">
        <v>2017</v>
      </c>
      <c r="G25" s="76">
        <v>2017</v>
      </c>
      <c r="H25" s="76">
        <v>2017</v>
      </c>
      <c r="I25" s="76">
        <v>2017</v>
      </c>
      <c r="J25" s="76">
        <v>2017</v>
      </c>
      <c r="K25" s="76">
        <v>2017</v>
      </c>
      <c r="L25" s="76">
        <v>2017</v>
      </c>
      <c r="M25" s="76">
        <v>2017</v>
      </c>
      <c r="N25" s="76">
        <v>2017</v>
      </c>
      <c r="O25" s="76">
        <v>2017</v>
      </c>
      <c r="P25" s="76">
        <v>2017</v>
      </c>
      <c r="Q25" s="76">
        <v>2017</v>
      </c>
      <c r="R25" s="76">
        <v>2017</v>
      </c>
      <c r="S25" s="76">
        <v>2017</v>
      </c>
      <c r="T25" s="76">
        <v>2017</v>
      </c>
      <c r="U25" s="76">
        <v>2017</v>
      </c>
      <c r="V25" s="76">
        <v>2017</v>
      </c>
      <c r="W25" s="76">
        <v>2017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56387-766E-4A11-B1CB-43FA7FDD6FCA}">
  <sheetPr>
    <tabColor rgb="FF0070C0"/>
  </sheetPr>
  <dimension ref="A1:W25"/>
  <sheetViews>
    <sheetView workbookViewId="0">
      <selection activeCell="U18" sqref="T18:U18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76">
        <v>17675.099999999999</v>
      </c>
      <c r="C2" s="76">
        <v>17675.099999999999</v>
      </c>
      <c r="D2" s="76">
        <v>17675.099999999999</v>
      </c>
      <c r="E2" s="76">
        <v>17675.099999999999</v>
      </c>
      <c r="F2" s="76">
        <v>17675.099999999999</v>
      </c>
      <c r="G2" s="76">
        <v>17675.099999999999</v>
      </c>
      <c r="H2" s="76">
        <v>17675.099999999999</v>
      </c>
      <c r="I2" s="76">
        <v>17675.099999999999</v>
      </c>
      <c r="J2" s="76">
        <v>17675.099999999999</v>
      </c>
      <c r="K2" s="76">
        <v>17675.099999999999</v>
      </c>
      <c r="L2" s="76">
        <v>17675.099999999999</v>
      </c>
      <c r="M2" s="76">
        <v>17675.099999999999</v>
      </c>
      <c r="N2" s="76">
        <v>17675.099999999999</v>
      </c>
      <c r="O2" s="76">
        <v>17675.099999999999</v>
      </c>
      <c r="P2" s="76">
        <v>17675.099999999999</v>
      </c>
      <c r="Q2" s="76">
        <v>17675.099999999999</v>
      </c>
      <c r="R2" s="76">
        <v>17675.099999999999</v>
      </c>
      <c r="S2" s="76">
        <v>17675.099999999999</v>
      </c>
      <c r="T2" s="76">
        <v>17675.099999999999</v>
      </c>
      <c r="U2" s="76">
        <v>17675.099999999999</v>
      </c>
      <c r="V2" s="76">
        <v>17675.099999999999</v>
      </c>
      <c r="W2" s="76">
        <v>17675.099999999999</v>
      </c>
    </row>
    <row r="3" spans="1:23" ht="15.75" thickBot="1" x14ac:dyDescent="0.3">
      <c r="A3" s="11" t="s">
        <v>49</v>
      </c>
      <c r="B3" s="76">
        <v>17201.400000000001</v>
      </c>
      <c r="C3" s="76">
        <v>17201.400000000001</v>
      </c>
      <c r="D3" s="76">
        <v>17201.400000000001</v>
      </c>
      <c r="E3" s="76">
        <v>17201.400000000001</v>
      </c>
      <c r="F3" s="76">
        <v>17201.400000000001</v>
      </c>
      <c r="G3" s="76">
        <v>17201.400000000001</v>
      </c>
      <c r="H3" s="76">
        <v>17201.400000000001</v>
      </c>
      <c r="I3" s="76">
        <v>17201.400000000001</v>
      </c>
      <c r="J3" s="76">
        <v>17201.400000000001</v>
      </c>
      <c r="K3" s="76">
        <v>17201.400000000001</v>
      </c>
      <c r="L3" s="76">
        <v>17201.400000000001</v>
      </c>
      <c r="M3" s="76">
        <v>17201.400000000001</v>
      </c>
      <c r="N3" s="76">
        <v>17449.8</v>
      </c>
      <c r="O3" s="76">
        <v>17675.099999999999</v>
      </c>
      <c r="P3" s="76">
        <v>17675.099999999999</v>
      </c>
      <c r="Q3" s="76">
        <v>17675.099999999999</v>
      </c>
      <c r="R3" s="76">
        <v>17675.099999999999</v>
      </c>
      <c r="S3" s="76">
        <v>17675.099999999999</v>
      </c>
      <c r="T3" s="76">
        <v>17675.099999999999</v>
      </c>
      <c r="U3" s="76">
        <v>17675.099999999999</v>
      </c>
      <c r="V3" s="76">
        <v>17675.099999999999</v>
      </c>
      <c r="W3" s="76">
        <v>17675.099999999999</v>
      </c>
    </row>
    <row r="4" spans="1:23" ht="15.75" thickBot="1" x14ac:dyDescent="0.3">
      <c r="A4" s="11" t="s">
        <v>50</v>
      </c>
      <c r="B4" s="76">
        <v>12170.7</v>
      </c>
      <c r="C4" s="76">
        <v>12570</v>
      </c>
      <c r="D4" s="76">
        <v>12834.3</v>
      </c>
      <c r="E4" s="76">
        <v>12908.1</v>
      </c>
      <c r="F4" s="76">
        <v>13238.4</v>
      </c>
      <c r="G4" s="76">
        <v>13789.5</v>
      </c>
      <c r="H4" s="76">
        <v>13918.2</v>
      </c>
      <c r="I4" s="76">
        <v>14441.7</v>
      </c>
      <c r="J4" s="76">
        <v>14592.6</v>
      </c>
      <c r="K4" s="76">
        <v>15043.5</v>
      </c>
      <c r="L4" s="76">
        <v>15696.6</v>
      </c>
      <c r="M4" s="76">
        <v>16298.1</v>
      </c>
      <c r="N4" s="76">
        <v>16700.099999999999</v>
      </c>
      <c r="O4" s="76">
        <v>16700.099999999999</v>
      </c>
      <c r="P4" s="76">
        <v>16700.099999999999</v>
      </c>
      <c r="Q4" s="76">
        <v>16700.099999999999</v>
      </c>
      <c r="R4" s="76">
        <v>17118.3</v>
      </c>
      <c r="S4" s="76">
        <v>17118.3</v>
      </c>
      <c r="T4" s="76">
        <v>17545.8</v>
      </c>
      <c r="U4" s="76">
        <v>17545.8</v>
      </c>
      <c r="V4" s="76">
        <v>17545.8</v>
      </c>
      <c r="W4" s="76">
        <v>17545.8</v>
      </c>
    </row>
    <row r="5" spans="1:23" ht="15.75" thickBot="1" x14ac:dyDescent="0.3">
      <c r="A5" s="11" t="s">
        <v>51</v>
      </c>
      <c r="B5" s="76">
        <v>10113</v>
      </c>
      <c r="C5" s="76">
        <v>10582.8</v>
      </c>
      <c r="D5" s="76">
        <v>10800.3</v>
      </c>
      <c r="E5" s="76">
        <v>10973.4</v>
      </c>
      <c r="F5" s="76">
        <v>11286</v>
      </c>
      <c r="G5" s="76">
        <v>11595.3</v>
      </c>
      <c r="H5" s="76">
        <v>11952.6</v>
      </c>
      <c r="I5" s="76">
        <v>12308.7</v>
      </c>
      <c r="J5" s="76">
        <v>12666.6</v>
      </c>
      <c r="K5" s="76">
        <v>13789.5</v>
      </c>
      <c r="L5" s="76">
        <v>14737.8</v>
      </c>
      <c r="M5" s="76">
        <v>14737.8</v>
      </c>
      <c r="N5" s="76">
        <v>14737.8</v>
      </c>
      <c r="O5" s="76">
        <v>14737.8</v>
      </c>
      <c r="P5" s="76">
        <v>14813.7</v>
      </c>
      <c r="Q5" s="76">
        <v>14813.7</v>
      </c>
      <c r="R5" s="76">
        <v>15110.1</v>
      </c>
      <c r="S5" s="76">
        <v>15110.1</v>
      </c>
      <c r="T5" s="76">
        <v>15110.1</v>
      </c>
      <c r="U5" s="76">
        <v>15110.1</v>
      </c>
      <c r="V5" s="76">
        <v>15110.1</v>
      </c>
      <c r="W5" s="76">
        <v>15110.1</v>
      </c>
    </row>
    <row r="6" spans="1:23" ht="15.75" thickBot="1" x14ac:dyDescent="0.3">
      <c r="A6" s="11" t="s">
        <v>52</v>
      </c>
      <c r="B6" s="76">
        <v>7669.2</v>
      </c>
      <c r="C6" s="76">
        <v>8425.2000000000007</v>
      </c>
      <c r="D6" s="76">
        <v>8978.1</v>
      </c>
      <c r="E6" s="76">
        <v>8978.1</v>
      </c>
      <c r="F6" s="76">
        <v>9012.6</v>
      </c>
      <c r="G6" s="76">
        <v>9398.7000000000007</v>
      </c>
      <c r="H6" s="76">
        <v>9450</v>
      </c>
      <c r="I6" s="76">
        <v>9450</v>
      </c>
      <c r="J6" s="76">
        <v>9987</v>
      </c>
      <c r="K6" s="76">
        <v>10936.2</v>
      </c>
      <c r="L6" s="76">
        <v>11493.6</v>
      </c>
      <c r="M6" s="76">
        <v>12050.4</v>
      </c>
      <c r="N6" s="76">
        <v>12367.5</v>
      </c>
      <c r="O6" s="76">
        <v>12688.8</v>
      </c>
      <c r="P6" s="76">
        <v>13310.7</v>
      </c>
      <c r="Q6" s="76">
        <v>13310.7</v>
      </c>
      <c r="R6" s="76">
        <v>13576.5</v>
      </c>
      <c r="S6" s="76">
        <v>13576.5</v>
      </c>
      <c r="T6" s="76">
        <v>13576.5</v>
      </c>
      <c r="U6" s="76">
        <v>13576.5</v>
      </c>
      <c r="V6" s="76">
        <v>13576.5</v>
      </c>
      <c r="W6" s="76">
        <v>13576.5</v>
      </c>
    </row>
    <row r="7" spans="1:23" ht="15.75" thickBot="1" x14ac:dyDescent="0.3">
      <c r="A7" s="11" t="s">
        <v>33</v>
      </c>
      <c r="B7" s="76">
        <v>6393.3</v>
      </c>
      <c r="C7" s="76">
        <v>7202.1</v>
      </c>
      <c r="D7" s="76">
        <v>7700.4</v>
      </c>
      <c r="E7" s="76">
        <v>7794.3</v>
      </c>
      <c r="F7" s="76">
        <v>8105.7</v>
      </c>
      <c r="G7" s="76">
        <v>8291.4</v>
      </c>
      <c r="H7" s="76">
        <v>8700.6</v>
      </c>
      <c r="I7" s="76">
        <v>9001.7999999999993</v>
      </c>
      <c r="J7" s="76">
        <v>9389.7000000000007</v>
      </c>
      <c r="K7" s="76">
        <v>9982.7999999999993</v>
      </c>
      <c r="L7" s="76">
        <v>10265.4</v>
      </c>
      <c r="M7" s="76">
        <v>10544.7</v>
      </c>
      <c r="N7" s="76">
        <v>10861.8</v>
      </c>
      <c r="O7" s="76">
        <v>10861.8</v>
      </c>
      <c r="P7" s="76">
        <v>10861.8</v>
      </c>
      <c r="Q7" s="76">
        <v>10861.8</v>
      </c>
      <c r="R7" s="76">
        <v>10861.8</v>
      </c>
      <c r="S7" s="76">
        <v>10861.8</v>
      </c>
      <c r="T7" s="76">
        <v>10861.8</v>
      </c>
      <c r="U7" s="76">
        <v>10861.8</v>
      </c>
      <c r="V7" s="76">
        <v>10861.8</v>
      </c>
      <c r="W7" s="76">
        <v>10861.8</v>
      </c>
    </row>
    <row r="8" spans="1:23" ht="15.75" thickBot="1" x14ac:dyDescent="0.3">
      <c r="A8" s="11" t="s">
        <v>34</v>
      </c>
      <c r="B8" s="76">
        <v>5516.4</v>
      </c>
      <c r="C8" s="76">
        <v>6385.2</v>
      </c>
      <c r="D8" s="76">
        <v>6812.1</v>
      </c>
      <c r="E8" s="76">
        <v>6906.3</v>
      </c>
      <c r="F8" s="76">
        <v>7301.7</v>
      </c>
      <c r="G8" s="76">
        <v>7726.2</v>
      </c>
      <c r="H8" s="76">
        <v>8254.7999999999993</v>
      </c>
      <c r="I8" s="76">
        <v>8665.5</v>
      </c>
      <c r="J8" s="76">
        <v>8951.1</v>
      </c>
      <c r="K8" s="76">
        <v>9115.5</v>
      </c>
      <c r="L8" s="76">
        <v>9210.2999999999993</v>
      </c>
      <c r="M8" s="76">
        <v>9210.2999999999993</v>
      </c>
      <c r="N8" s="76">
        <v>9210.2999999999993</v>
      </c>
      <c r="O8" s="76">
        <v>9210.2999999999993</v>
      </c>
      <c r="P8" s="76">
        <v>9210.2999999999993</v>
      </c>
      <c r="Q8" s="76">
        <v>9210.2999999999993</v>
      </c>
      <c r="R8" s="76">
        <v>9210.2999999999993</v>
      </c>
      <c r="S8" s="76">
        <v>9210.2999999999993</v>
      </c>
      <c r="T8" s="76">
        <v>9210.2999999999993</v>
      </c>
      <c r="U8" s="76">
        <v>9210.2999999999993</v>
      </c>
      <c r="V8" s="76">
        <v>9210.2999999999993</v>
      </c>
      <c r="W8" s="76">
        <v>9210.2999999999993</v>
      </c>
    </row>
    <row r="9" spans="1:23" ht="15.75" thickBot="1" x14ac:dyDescent="0.3">
      <c r="A9" s="11" t="s">
        <v>53</v>
      </c>
      <c r="B9" s="76">
        <v>4849.8</v>
      </c>
      <c r="C9" s="76">
        <v>5497.8</v>
      </c>
      <c r="D9" s="76">
        <v>5933.4</v>
      </c>
      <c r="E9" s="76">
        <v>6469.8</v>
      </c>
      <c r="F9" s="76">
        <v>6780.3</v>
      </c>
      <c r="G9" s="76">
        <v>7120.5</v>
      </c>
      <c r="H9" s="76">
        <v>7340.1</v>
      </c>
      <c r="I9" s="76">
        <v>7701.6</v>
      </c>
      <c r="J9" s="76">
        <v>7890.6</v>
      </c>
      <c r="K9" s="76">
        <v>7890.6</v>
      </c>
      <c r="L9" s="76">
        <v>7890.6</v>
      </c>
      <c r="M9" s="76">
        <v>7890.6</v>
      </c>
      <c r="N9" s="76">
        <v>7890.6</v>
      </c>
      <c r="O9" s="76">
        <v>7890.6</v>
      </c>
      <c r="P9" s="76">
        <v>7890.6</v>
      </c>
      <c r="Q9" s="76">
        <v>7890.6</v>
      </c>
      <c r="R9" s="76">
        <v>7890.6</v>
      </c>
      <c r="S9" s="76">
        <v>7890.6</v>
      </c>
      <c r="T9" s="76">
        <v>7890.6</v>
      </c>
      <c r="U9" s="76">
        <v>7890.6</v>
      </c>
      <c r="V9" s="76">
        <v>7890.6</v>
      </c>
      <c r="W9" s="76">
        <v>7890.6</v>
      </c>
    </row>
    <row r="10" spans="1:23" ht="15.75" thickBot="1" x14ac:dyDescent="0.3">
      <c r="A10" s="11" t="s">
        <v>54</v>
      </c>
      <c r="B10" s="76">
        <v>4190.7</v>
      </c>
      <c r="C10" s="76">
        <v>4772.7</v>
      </c>
      <c r="D10" s="76">
        <v>5496.9</v>
      </c>
      <c r="E10" s="76">
        <v>5682.6</v>
      </c>
      <c r="F10" s="76">
        <v>5799.3</v>
      </c>
      <c r="G10" s="76">
        <v>5799.3</v>
      </c>
      <c r="H10" s="76">
        <v>5799.3</v>
      </c>
      <c r="I10" s="76">
        <v>5799.3</v>
      </c>
      <c r="J10" s="76">
        <v>5799.3</v>
      </c>
      <c r="K10" s="76">
        <v>5799.3</v>
      </c>
      <c r="L10" s="76">
        <v>5799.3</v>
      </c>
      <c r="M10" s="76">
        <v>5799.3</v>
      </c>
      <c r="N10" s="76">
        <v>5799.3</v>
      </c>
      <c r="O10" s="76">
        <v>5799.3</v>
      </c>
      <c r="P10" s="76">
        <v>5799.3</v>
      </c>
      <c r="Q10" s="76">
        <v>5799.3</v>
      </c>
      <c r="R10" s="76">
        <v>5799.3</v>
      </c>
      <c r="S10" s="76">
        <v>5799.3</v>
      </c>
      <c r="T10" s="76">
        <v>5799.3</v>
      </c>
      <c r="U10" s="76">
        <v>5799.3</v>
      </c>
      <c r="V10" s="76">
        <v>5799.3</v>
      </c>
      <c r="W10" s="76">
        <v>5799.3</v>
      </c>
    </row>
    <row r="11" spans="1:23" ht="15.75" thickBot="1" x14ac:dyDescent="0.3">
      <c r="A11" s="11" t="s">
        <v>55</v>
      </c>
      <c r="B11" s="76">
        <v>3637.2</v>
      </c>
      <c r="C11" s="76">
        <v>3786</v>
      </c>
      <c r="D11" s="76">
        <v>4576.8</v>
      </c>
      <c r="E11" s="76">
        <v>4576.8</v>
      </c>
      <c r="F11" s="76">
        <v>4576.8</v>
      </c>
      <c r="G11" s="76">
        <v>4576.8</v>
      </c>
      <c r="H11" s="76">
        <v>4576.8</v>
      </c>
      <c r="I11" s="76">
        <v>4576.8</v>
      </c>
      <c r="J11" s="76">
        <v>4576.8</v>
      </c>
      <c r="K11" s="76">
        <v>4576.8</v>
      </c>
      <c r="L11" s="76">
        <v>4576.8</v>
      </c>
      <c r="M11" s="76">
        <v>4576.8</v>
      </c>
      <c r="N11" s="76">
        <v>4576.8</v>
      </c>
      <c r="O11" s="76">
        <v>4576.8</v>
      </c>
      <c r="P11" s="76">
        <v>4576.8</v>
      </c>
      <c r="Q11" s="76">
        <v>4576.8</v>
      </c>
      <c r="R11" s="76">
        <v>4576.8</v>
      </c>
      <c r="S11" s="76">
        <v>4576.8</v>
      </c>
      <c r="T11" s="76">
        <v>4576.8</v>
      </c>
      <c r="U11" s="76">
        <v>4576.8</v>
      </c>
      <c r="V11" s="76">
        <v>4576.8</v>
      </c>
      <c r="W11" s="76">
        <v>4576.8</v>
      </c>
    </row>
    <row r="12" spans="1:23" ht="15.75" thickBot="1" x14ac:dyDescent="0.3">
      <c r="A12" s="13" t="s">
        <v>35</v>
      </c>
      <c r="B12" s="76">
        <v>8912.1</v>
      </c>
      <c r="C12" s="76">
        <v>8912.1</v>
      </c>
      <c r="D12" s="76">
        <v>8912.1</v>
      </c>
      <c r="E12" s="76">
        <v>8912.1</v>
      </c>
      <c r="F12" s="76">
        <v>8912.1</v>
      </c>
      <c r="G12" s="76">
        <v>8912.1</v>
      </c>
      <c r="H12" s="76">
        <v>8912.1</v>
      </c>
      <c r="I12" s="76">
        <v>8912.1</v>
      </c>
      <c r="J12" s="76">
        <v>8912.1</v>
      </c>
      <c r="K12" s="76">
        <v>8912.1</v>
      </c>
      <c r="L12" s="76">
        <v>8912.1</v>
      </c>
      <c r="M12" s="76">
        <v>8912.1</v>
      </c>
      <c r="N12" s="76">
        <v>9364.2000000000007</v>
      </c>
      <c r="O12" s="76">
        <v>9701.1</v>
      </c>
      <c r="P12" s="76">
        <v>10073.4</v>
      </c>
      <c r="Q12" s="76">
        <v>10073.4</v>
      </c>
      <c r="R12" s="76">
        <v>10578</v>
      </c>
      <c r="S12" s="76">
        <v>10578</v>
      </c>
      <c r="T12" s="76">
        <v>11106</v>
      </c>
      <c r="U12" s="76">
        <v>11106</v>
      </c>
      <c r="V12" s="76">
        <v>11662.5</v>
      </c>
      <c r="W12" s="76">
        <v>11662.5</v>
      </c>
    </row>
    <row r="13" spans="1:23" ht="15.75" thickBot="1" x14ac:dyDescent="0.3">
      <c r="A13" s="13" t="s">
        <v>36</v>
      </c>
      <c r="B13" s="76">
        <v>5012.3999999999996</v>
      </c>
      <c r="C13" s="76">
        <v>5391.3</v>
      </c>
      <c r="D13" s="76">
        <v>5546.1</v>
      </c>
      <c r="E13" s="76">
        <v>5698.2</v>
      </c>
      <c r="F13" s="76">
        <v>5960.7</v>
      </c>
      <c r="G13" s="76">
        <v>6220.2</v>
      </c>
      <c r="H13" s="76">
        <v>6483</v>
      </c>
      <c r="I13" s="76">
        <v>6877.8</v>
      </c>
      <c r="J13" s="76">
        <v>7224.3</v>
      </c>
      <c r="K13" s="76">
        <v>7554</v>
      </c>
      <c r="L13" s="76">
        <v>7824.3</v>
      </c>
      <c r="M13" s="76">
        <v>8087.7</v>
      </c>
      <c r="N13" s="76">
        <v>8473.7999999999993</v>
      </c>
      <c r="O13" s="76">
        <v>8791.5</v>
      </c>
      <c r="P13" s="76">
        <v>9153.6</v>
      </c>
      <c r="Q13" s="76">
        <v>9153.6</v>
      </c>
      <c r="R13" s="76">
        <v>9336.2999999999993</v>
      </c>
      <c r="S13" s="76">
        <v>9336.2999999999993</v>
      </c>
      <c r="T13" s="76">
        <v>9336.2999999999993</v>
      </c>
      <c r="U13" s="76">
        <v>9336.2999999999993</v>
      </c>
      <c r="V13" s="76">
        <v>9336.2999999999993</v>
      </c>
      <c r="W13" s="76">
        <v>9336.2999999999993</v>
      </c>
    </row>
    <row r="14" spans="1:23" ht="15.75" thickBot="1" x14ac:dyDescent="0.3">
      <c r="A14" s="13" t="s">
        <v>37</v>
      </c>
      <c r="B14" s="76">
        <v>4577.7</v>
      </c>
      <c r="C14" s="76">
        <v>4767.8999999999996</v>
      </c>
      <c r="D14" s="76">
        <v>4964.1000000000004</v>
      </c>
      <c r="E14" s="76">
        <v>5027.7</v>
      </c>
      <c r="F14" s="76">
        <v>5232.3</v>
      </c>
      <c r="G14" s="76">
        <v>5635.8</v>
      </c>
      <c r="H14" s="76">
        <v>6055.8</v>
      </c>
      <c r="I14" s="76">
        <v>6253.8</v>
      </c>
      <c r="J14" s="76">
        <v>6482.7</v>
      </c>
      <c r="K14" s="76">
        <v>6718.2</v>
      </c>
      <c r="L14" s="76">
        <v>7142.4</v>
      </c>
      <c r="M14" s="76">
        <v>7428.3</v>
      </c>
      <c r="N14" s="76">
        <v>7599.6</v>
      </c>
      <c r="O14" s="76">
        <v>7781.4</v>
      </c>
      <c r="P14" s="76">
        <v>8029.5</v>
      </c>
      <c r="Q14" s="76">
        <v>8029.5</v>
      </c>
      <c r="R14" s="76">
        <v>8029.5</v>
      </c>
      <c r="S14" s="76">
        <v>8029.5</v>
      </c>
      <c r="T14" s="76">
        <v>8029.5</v>
      </c>
      <c r="U14" s="76">
        <v>8029.5</v>
      </c>
      <c r="V14" s="76">
        <v>8029.5</v>
      </c>
      <c r="W14" s="76">
        <v>8029.5</v>
      </c>
    </row>
    <row r="15" spans="1:23" ht="15.75" thickBot="1" x14ac:dyDescent="0.3">
      <c r="A15" s="13" t="s">
        <v>38</v>
      </c>
      <c r="B15" s="76">
        <v>4050.3</v>
      </c>
      <c r="C15" s="76">
        <v>4433.3999999999996</v>
      </c>
      <c r="D15" s="76">
        <v>4551</v>
      </c>
      <c r="E15" s="76">
        <v>4632.3</v>
      </c>
      <c r="F15" s="76">
        <v>4894.8</v>
      </c>
      <c r="G15" s="76">
        <v>5302.8</v>
      </c>
      <c r="H15" s="76">
        <v>5505.6</v>
      </c>
      <c r="I15" s="76">
        <v>5704.5</v>
      </c>
      <c r="J15" s="76">
        <v>5948.1</v>
      </c>
      <c r="K15" s="76">
        <v>6138.6</v>
      </c>
      <c r="L15" s="76">
        <v>6310.8</v>
      </c>
      <c r="M15" s="76">
        <v>6517.2</v>
      </c>
      <c r="N15" s="76">
        <v>6652.8</v>
      </c>
      <c r="O15" s="76">
        <v>6760.2</v>
      </c>
      <c r="P15" s="76">
        <v>6760.2</v>
      </c>
      <c r="Q15" s="76">
        <v>6760.2</v>
      </c>
      <c r="R15" s="76">
        <v>6760.2</v>
      </c>
      <c r="S15" s="76">
        <v>6760.2</v>
      </c>
      <c r="T15" s="76">
        <v>6760.2</v>
      </c>
      <c r="U15" s="76">
        <v>6760.2</v>
      </c>
      <c r="V15" s="76">
        <v>6760.2</v>
      </c>
      <c r="W15" s="76">
        <v>6760.2</v>
      </c>
    </row>
    <row r="16" spans="1:23" ht="15.75" thickBot="1" x14ac:dyDescent="0.3">
      <c r="A16" s="13" t="s">
        <v>39</v>
      </c>
      <c r="B16" s="76">
        <v>3555</v>
      </c>
      <c r="C16" s="76">
        <v>3938.1</v>
      </c>
      <c r="D16" s="76">
        <v>4040.7</v>
      </c>
      <c r="E16" s="76">
        <v>4258.2</v>
      </c>
      <c r="F16" s="76">
        <v>4515</v>
      </c>
      <c r="G16" s="76">
        <v>4893.8999999999996</v>
      </c>
      <c r="H16" s="76">
        <v>5070.6000000000004</v>
      </c>
      <c r="I16" s="76">
        <v>5318.7</v>
      </c>
      <c r="J16" s="76">
        <v>5561.7</v>
      </c>
      <c r="K16" s="76">
        <v>5753.1</v>
      </c>
      <c r="L16" s="76">
        <v>5929.2</v>
      </c>
      <c r="M16" s="76">
        <v>6143.4</v>
      </c>
      <c r="N16" s="76">
        <v>6143.4</v>
      </c>
      <c r="O16" s="76">
        <v>6143.4</v>
      </c>
      <c r="P16" s="76">
        <v>6143.4</v>
      </c>
      <c r="Q16" s="76">
        <v>6143.4</v>
      </c>
      <c r="R16" s="76">
        <v>6143.4</v>
      </c>
      <c r="S16" s="76">
        <v>6143.4</v>
      </c>
      <c r="T16" s="76">
        <v>6143.4</v>
      </c>
      <c r="U16" s="76">
        <v>6143.4</v>
      </c>
      <c r="V16" s="76">
        <v>6143.4</v>
      </c>
      <c r="W16" s="76">
        <v>6143.4</v>
      </c>
    </row>
    <row r="17" spans="1:23" ht="15.75" thickBot="1" x14ac:dyDescent="0.3">
      <c r="A17" s="13" t="s">
        <v>40</v>
      </c>
      <c r="B17" s="76">
        <v>6055.5</v>
      </c>
      <c r="C17" s="76">
        <v>6055.5</v>
      </c>
      <c r="D17" s="76">
        <v>6055.5</v>
      </c>
      <c r="E17" s="76">
        <v>6055.5</v>
      </c>
      <c r="F17" s="76">
        <v>6055.5</v>
      </c>
      <c r="G17" s="76">
        <v>6055.5</v>
      </c>
      <c r="H17" s="76">
        <v>6055.5</v>
      </c>
      <c r="I17" s="76">
        <v>6192.9</v>
      </c>
      <c r="J17" s="76">
        <v>6365.7</v>
      </c>
      <c r="K17" s="76">
        <v>6568.8</v>
      </c>
      <c r="L17" s="76">
        <v>6774.9</v>
      </c>
      <c r="M17" s="76">
        <v>7102.8</v>
      </c>
      <c r="N17" s="76">
        <v>7381.5</v>
      </c>
      <c r="O17" s="76">
        <v>7673.7</v>
      </c>
      <c r="P17" s="76">
        <v>8121.6</v>
      </c>
      <c r="Q17" s="76">
        <v>8121.6</v>
      </c>
      <c r="R17" s="76">
        <v>8526.9</v>
      </c>
      <c r="S17" s="76">
        <v>8526.9</v>
      </c>
      <c r="T17" s="76">
        <v>8953.7999999999993</v>
      </c>
      <c r="U17" s="76">
        <v>8953.7999999999993</v>
      </c>
      <c r="V17" s="76">
        <v>9402.2999999999993</v>
      </c>
      <c r="W17" s="76">
        <v>9402.2999999999993</v>
      </c>
    </row>
    <row r="18" spans="1:23" ht="15.75" thickBot="1" x14ac:dyDescent="0.3">
      <c r="A18" s="13" t="s">
        <v>41</v>
      </c>
      <c r="B18" s="76">
        <v>4957.2</v>
      </c>
      <c r="C18" s="76">
        <v>4957.2</v>
      </c>
      <c r="D18" s="76">
        <v>4957.2</v>
      </c>
      <c r="E18" s="76">
        <v>4957.2</v>
      </c>
      <c r="F18" s="76">
        <v>4957.2</v>
      </c>
      <c r="G18" s="76">
        <v>4957.2</v>
      </c>
      <c r="H18" s="76">
        <v>5176.5</v>
      </c>
      <c r="I18" s="76">
        <v>5312.1</v>
      </c>
      <c r="J18" s="76">
        <v>5474.7</v>
      </c>
      <c r="K18" s="76">
        <v>5650.8</v>
      </c>
      <c r="L18" s="76">
        <v>5968.8</v>
      </c>
      <c r="M18" s="76">
        <v>6130.2</v>
      </c>
      <c r="N18" s="76">
        <v>6404.4</v>
      </c>
      <c r="O18" s="76">
        <v>6556.5</v>
      </c>
      <c r="P18" s="76">
        <v>6930.9</v>
      </c>
      <c r="Q18" s="76">
        <v>6930.9</v>
      </c>
      <c r="R18" s="76">
        <v>7069.8</v>
      </c>
      <c r="S18" s="76">
        <v>7069.8</v>
      </c>
      <c r="T18" s="76">
        <v>7069.8</v>
      </c>
      <c r="U18" s="76">
        <v>7069.8</v>
      </c>
      <c r="V18" s="76">
        <v>7069.8</v>
      </c>
      <c r="W18" s="76">
        <v>7069.8</v>
      </c>
    </row>
    <row r="19" spans="1:23" ht="15.75" thickBot="1" x14ac:dyDescent="0.3">
      <c r="A19" s="13" t="s">
        <v>42</v>
      </c>
      <c r="B19" s="76">
        <v>3445.8</v>
      </c>
      <c r="C19" s="76">
        <v>3760.8</v>
      </c>
      <c r="D19" s="76">
        <v>3905.1</v>
      </c>
      <c r="E19" s="76">
        <v>4095.3</v>
      </c>
      <c r="F19" s="76">
        <v>4244.7</v>
      </c>
      <c r="G19" s="76">
        <v>4500.6000000000004</v>
      </c>
      <c r="H19" s="76">
        <v>4644.8999999999996</v>
      </c>
      <c r="I19" s="76">
        <v>4900.5</v>
      </c>
      <c r="J19" s="76">
        <v>5113.5</v>
      </c>
      <c r="K19" s="76">
        <v>5258.7</v>
      </c>
      <c r="L19" s="76">
        <v>5413.5</v>
      </c>
      <c r="M19" s="76">
        <v>5473.2</v>
      </c>
      <c r="N19" s="76">
        <v>5674.5</v>
      </c>
      <c r="O19" s="76">
        <v>5782.5</v>
      </c>
      <c r="P19" s="76">
        <v>6193.5</v>
      </c>
      <c r="Q19" s="76">
        <v>6193.5</v>
      </c>
      <c r="R19" s="76">
        <v>6193.5</v>
      </c>
      <c r="S19" s="76">
        <v>6193.5</v>
      </c>
      <c r="T19" s="76">
        <v>6193.5</v>
      </c>
      <c r="U19" s="76">
        <v>6193.5</v>
      </c>
      <c r="V19" s="76">
        <v>6193.5</v>
      </c>
      <c r="W19" s="76">
        <v>6193.5</v>
      </c>
    </row>
    <row r="20" spans="1:23" ht="15.75" thickBot="1" x14ac:dyDescent="0.3">
      <c r="A20" s="13" t="s">
        <v>43</v>
      </c>
      <c r="B20" s="76">
        <v>2980.5</v>
      </c>
      <c r="C20" s="76">
        <v>3279.9</v>
      </c>
      <c r="D20" s="76">
        <v>3424.8</v>
      </c>
      <c r="E20" s="76">
        <v>3565.5</v>
      </c>
      <c r="F20" s="76">
        <v>3711.9</v>
      </c>
      <c r="G20" s="76">
        <v>4042.2</v>
      </c>
      <c r="H20" s="76">
        <v>4170.8999999999996</v>
      </c>
      <c r="I20" s="76">
        <v>4419.8999999999996</v>
      </c>
      <c r="J20" s="76">
        <v>4496.1000000000004</v>
      </c>
      <c r="K20" s="76">
        <v>4551.3</v>
      </c>
      <c r="L20" s="76">
        <v>4616.3999999999996</v>
      </c>
      <c r="M20" s="76">
        <v>4616.3999999999996</v>
      </c>
      <c r="N20" s="76">
        <v>4616.3999999999996</v>
      </c>
      <c r="O20" s="76">
        <v>4616.3999999999996</v>
      </c>
      <c r="P20" s="76">
        <v>4616.3999999999996</v>
      </c>
      <c r="Q20" s="76">
        <v>4616.3999999999996</v>
      </c>
      <c r="R20" s="76">
        <v>4616.3999999999996</v>
      </c>
      <c r="S20" s="76">
        <v>4616.3999999999996</v>
      </c>
      <c r="T20" s="76">
        <v>4616.3999999999996</v>
      </c>
      <c r="U20" s="76">
        <v>4616.3999999999996</v>
      </c>
      <c r="V20" s="76">
        <v>4616.3999999999996</v>
      </c>
      <c r="W20" s="76">
        <v>4616.3999999999996</v>
      </c>
    </row>
    <row r="21" spans="1:23" ht="15.75" thickBot="1" x14ac:dyDescent="0.3">
      <c r="A21" s="13" t="s">
        <v>44</v>
      </c>
      <c r="B21" s="76">
        <v>2730.3</v>
      </c>
      <c r="C21" s="76">
        <v>2914.2</v>
      </c>
      <c r="D21" s="76">
        <v>3055.2</v>
      </c>
      <c r="E21" s="76">
        <v>3199.2</v>
      </c>
      <c r="F21" s="76">
        <v>3423.9</v>
      </c>
      <c r="G21" s="76">
        <v>3658.5</v>
      </c>
      <c r="H21" s="76">
        <v>3851.7</v>
      </c>
      <c r="I21" s="76">
        <v>3874.8</v>
      </c>
      <c r="J21" s="76">
        <v>3874.8</v>
      </c>
      <c r="K21" s="76">
        <v>3874.8</v>
      </c>
      <c r="L21" s="76">
        <v>3874.8</v>
      </c>
      <c r="M21" s="76">
        <v>3874.8</v>
      </c>
      <c r="N21" s="76">
        <v>3874.8</v>
      </c>
      <c r="O21" s="76">
        <v>3874.8</v>
      </c>
      <c r="P21" s="76">
        <v>3874.8</v>
      </c>
      <c r="Q21" s="76">
        <v>3874.8</v>
      </c>
      <c r="R21" s="76">
        <v>3874.8</v>
      </c>
      <c r="S21" s="76">
        <v>3874.8</v>
      </c>
      <c r="T21" s="76">
        <v>3874.8</v>
      </c>
      <c r="U21" s="76">
        <v>3874.8</v>
      </c>
      <c r="V21" s="76">
        <v>3874.8</v>
      </c>
      <c r="W21" s="76">
        <v>3874.8</v>
      </c>
    </row>
    <row r="22" spans="1:23" ht="15.75" thickBot="1" x14ac:dyDescent="0.3">
      <c r="A22" s="13" t="s">
        <v>45</v>
      </c>
      <c r="B22" s="76">
        <v>2503.5</v>
      </c>
      <c r="C22" s="76">
        <v>2631.6</v>
      </c>
      <c r="D22" s="76">
        <v>2774.1</v>
      </c>
      <c r="E22" s="76">
        <v>2914.8</v>
      </c>
      <c r="F22" s="76">
        <v>3039.3</v>
      </c>
      <c r="G22" s="76">
        <v>3039.3</v>
      </c>
      <c r="H22" s="76">
        <v>3039.3</v>
      </c>
      <c r="I22" s="76">
        <v>3039.3</v>
      </c>
      <c r="J22" s="76">
        <v>3039.3</v>
      </c>
      <c r="K22" s="76">
        <v>3039.3</v>
      </c>
      <c r="L22" s="76">
        <v>3039.3</v>
      </c>
      <c r="M22" s="76">
        <v>3039.3</v>
      </c>
      <c r="N22" s="76">
        <v>3039.3</v>
      </c>
      <c r="O22" s="76">
        <v>3039.3</v>
      </c>
      <c r="P22" s="76">
        <v>3039.3</v>
      </c>
      <c r="Q22" s="76">
        <v>3039.3</v>
      </c>
      <c r="R22" s="76">
        <v>3039.3</v>
      </c>
      <c r="S22" s="76">
        <v>3039.3</v>
      </c>
      <c r="T22" s="76">
        <v>3039.3</v>
      </c>
      <c r="U22" s="76">
        <v>3039.3</v>
      </c>
      <c r="V22" s="76">
        <v>3039.3</v>
      </c>
      <c r="W22" s="76">
        <v>3039.3</v>
      </c>
    </row>
    <row r="23" spans="1:23" ht="15.75" thickBot="1" x14ac:dyDescent="0.3">
      <c r="A23" s="13" t="s">
        <v>46</v>
      </c>
      <c r="B23" s="76">
        <v>2259.9</v>
      </c>
      <c r="C23" s="76">
        <v>2402.1</v>
      </c>
      <c r="D23" s="76">
        <v>2547.6</v>
      </c>
      <c r="E23" s="76">
        <v>2547.6</v>
      </c>
      <c r="F23" s="76">
        <v>2547.6</v>
      </c>
      <c r="G23" s="76">
        <v>2547.6</v>
      </c>
      <c r="H23" s="76">
        <v>2547.6</v>
      </c>
      <c r="I23" s="76">
        <v>2547.6</v>
      </c>
      <c r="J23" s="76">
        <v>2547.6</v>
      </c>
      <c r="K23" s="76">
        <v>2547.6</v>
      </c>
      <c r="L23" s="76">
        <v>2547.6</v>
      </c>
      <c r="M23" s="76">
        <v>2547.6</v>
      </c>
      <c r="N23" s="76">
        <v>2547.6</v>
      </c>
      <c r="O23" s="76">
        <v>2547.6</v>
      </c>
      <c r="P23" s="76">
        <v>2547.6</v>
      </c>
      <c r="Q23" s="76">
        <v>2547.6</v>
      </c>
      <c r="R23" s="76">
        <v>2547.6</v>
      </c>
      <c r="S23" s="76">
        <v>2547.6</v>
      </c>
      <c r="T23" s="76">
        <v>2547.6</v>
      </c>
      <c r="U23" s="76">
        <v>2547.6</v>
      </c>
      <c r="V23" s="76">
        <v>2547.6</v>
      </c>
      <c r="W23" s="76">
        <v>2547.6</v>
      </c>
    </row>
    <row r="24" spans="1:23" ht="15.75" thickBot="1" x14ac:dyDescent="0.3">
      <c r="A24" s="13" t="s">
        <v>47</v>
      </c>
      <c r="B24" s="76">
        <v>2149.1999999999998</v>
      </c>
      <c r="C24" s="76">
        <v>2149.1999999999998</v>
      </c>
      <c r="D24" s="76">
        <v>2149.1999999999998</v>
      </c>
      <c r="E24" s="76">
        <v>2149.1999999999998</v>
      </c>
      <c r="F24" s="76">
        <v>2149.1999999999998</v>
      </c>
      <c r="G24" s="76">
        <v>2149.1999999999998</v>
      </c>
      <c r="H24" s="76">
        <v>2149.1999999999998</v>
      </c>
      <c r="I24" s="76">
        <v>2149.1999999999998</v>
      </c>
      <c r="J24" s="76">
        <v>2149.1999999999998</v>
      </c>
      <c r="K24" s="76">
        <v>2149.1999999999998</v>
      </c>
      <c r="L24" s="76">
        <v>2149.1999999999998</v>
      </c>
      <c r="M24" s="76">
        <v>2149.1999999999998</v>
      </c>
      <c r="N24" s="76">
        <v>2149.1999999999998</v>
      </c>
      <c r="O24" s="76">
        <v>2149.1999999999998</v>
      </c>
      <c r="P24" s="76">
        <v>2149.1999999999998</v>
      </c>
      <c r="Q24" s="76">
        <v>2149.1999999999998</v>
      </c>
      <c r="R24" s="76">
        <v>2149.1999999999998</v>
      </c>
      <c r="S24" s="76">
        <v>2149.1999999999998</v>
      </c>
      <c r="T24" s="76">
        <v>2149.1999999999998</v>
      </c>
      <c r="U24" s="76">
        <v>2149.1999999999998</v>
      </c>
      <c r="V24" s="76">
        <v>2149.1999999999998</v>
      </c>
      <c r="W24" s="76">
        <v>2149.1999999999998</v>
      </c>
    </row>
    <row r="25" spans="1:23" ht="15.75" thickBot="1" x14ac:dyDescent="0.3">
      <c r="A25" s="13" t="s">
        <v>56</v>
      </c>
      <c r="B25" s="76">
        <v>1917.6</v>
      </c>
      <c r="C25" s="76">
        <v>1917.6</v>
      </c>
      <c r="D25" s="76">
        <v>1917.6</v>
      </c>
      <c r="E25" s="76">
        <v>1917.6</v>
      </c>
      <c r="F25" s="76">
        <v>1917.6</v>
      </c>
      <c r="G25" s="76">
        <v>1917.6</v>
      </c>
      <c r="H25" s="76">
        <v>1917.6</v>
      </c>
      <c r="I25" s="76">
        <v>1917.6</v>
      </c>
      <c r="J25" s="76">
        <v>1917.6</v>
      </c>
      <c r="K25" s="76">
        <v>1917.6</v>
      </c>
      <c r="L25" s="76">
        <v>1917.6</v>
      </c>
      <c r="M25" s="76">
        <v>1917.6</v>
      </c>
      <c r="N25" s="76">
        <v>1917.6</v>
      </c>
      <c r="O25" s="76">
        <v>1917.6</v>
      </c>
      <c r="P25" s="76">
        <v>1917.6</v>
      </c>
      <c r="Q25" s="76">
        <v>1917.6</v>
      </c>
      <c r="R25" s="76">
        <v>1917.6</v>
      </c>
      <c r="S25" s="76">
        <v>1917.6</v>
      </c>
      <c r="T25" s="76">
        <v>1917.6</v>
      </c>
      <c r="U25" s="76">
        <v>1917.6</v>
      </c>
      <c r="V25" s="76">
        <v>1917.6</v>
      </c>
      <c r="W25" s="76">
        <v>1917.6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C9A37-991C-462B-B59E-67C5F42C90A2}">
  <sheetPr>
    <tabColor rgb="FF0070C0"/>
  </sheetPr>
  <dimension ref="A1:W25"/>
  <sheetViews>
    <sheetView workbookViewId="0">
      <selection activeCell="D21" sqref="D21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76">
        <v>16974.900000000001</v>
      </c>
      <c r="C2" s="76">
        <v>16974.900000000001</v>
      </c>
      <c r="D2" s="76">
        <v>16974.900000000001</v>
      </c>
      <c r="E2" s="76">
        <v>16974.900000000001</v>
      </c>
      <c r="F2" s="76">
        <v>16974.900000000001</v>
      </c>
      <c r="G2" s="76">
        <v>16974.900000000001</v>
      </c>
      <c r="H2" s="76">
        <v>16974.900000000001</v>
      </c>
      <c r="I2" s="76">
        <v>16974.900000000001</v>
      </c>
      <c r="J2" s="76">
        <v>16974.900000000001</v>
      </c>
      <c r="K2" s="76">
        <v>16974.900000000001</v>
      </c>
      <c r="L2" s="76">
        <v>16974.900000000001</v>
      </c>
      <c r="M2" s="76">
        <v>16974.900000000001</v>
      </c>
      <c r="N2" s="76">
        <v>16974.900000000001</v>
      </c>
      <c r="O2" s="76">
        <v>16974.900000000001</v>
      </c>
      <c r="P2" s="76">
        <v>16974.900000000001</v>
      </c>
      <c r="Q2" s="76">
        <v>16974.900000000001</v>
      </c>
      <c r="R2" s="76">
        <v>16974.900000000001</v>
      </c>
      <c r="S2" s="76">
        <v>16974.900000000001</v>
      </c>
      <c r="T2" s="76">
        <v>16974.900000000001</v>
      </c>
      <c r="U2" s="76">
        <v>16974.900000000001</v>
      </c>
      <c r="V2" s="76">
        <v>16974.900000000001</v>
      </c>
      <c r="W2" s="76">
        <v>16974.900000000001</v>
      </c>
    </row>
    <row r="3" spans="1:23" ht="15.75" thickBot="1" x14ac:dyDescent="0.3">
      <c r="A3" s="11" t="s">
        <v>49</v>
      </c>
      <c r="B3" s="76">
        <v>16444.8</v>
      </c>
      <c r="C3" s="76">
        <v>16444.8</v>
      </c>
      <c r="D3" s="76">
        <v>16444.8</v>
      </c>
      <c r="E3" s="76">
        <v>16444.8</v>
      </c>
      <c r="F3" s="76">
        <v>16444.8</v>
      </c>
      <c r="G3" s="76">
        <v>16444.8</v>
      </c>
      <c r="H3" s="76">
        <v>16444.8</v>
      </c>
      <c r="I3" s="76">
        <v>16444.8</v>
      </c>
      <c r="J3" s="76">
        <v>16444.8</v>
      </c>
      <c r="K3" s="76">
        <v>16444.8</v>
      </c>
      <c r="L3" s="76">
        <v>16444.8</v>
      </c>
      <c r="M3" s="76">
        <v>16444.8</v>
      </c>
      <c r="N3" s="76">
        <v>16682.400000000001</v>
      </c>
      <c r="O3" s="76">
        <v>16974.900000000001</v>
      </c>
      <c r="P3" s="76">
        <v>16974.900000000001</v>
      </c>
      <c r="Q3" s="76">
        <v>16974.900000000001</v>
      </c>
      <c r="R3" s="76">
        <v>16974.900000000001</v>
      </c>
      <c r="S3" s="76">
        <v>16974.900000000001</v>
      </c>
      <c r="T3" s="76">
        <v>16974.900000000001</v>
      </c>
      <c r="U3" s="76">
        <v>16974.900000000001</v>
      </c>
      <c r="V3" s="76">
        <v>16974.900000000001</v>
      </c>
      <c r="W3" s="76">
        <v>16974.900000000001</v>
      </c>
    </row>
    <row r="4" spans="1:23" ht="15.75" thickBot="1" x14ac:dyDescent="0.3">
      <c r="A4" s="11" t="s">
        <v>50</v>
      </c>
      <c r="B4" s="76">
        <v>11635.5</v>
      </c>
      <c r="C4" s="76">
        <v>12017.1</v>
      </c>
      <c r="D4" s="76">
        <v>12270</v>
      </c>
      <c r="E4" s="76">
        <v>12340.5</v>
      </c>
      <c r="F4" s="76">
        <v>12656.1</v>
      </c>
      <c r="G4" s="76">
        <v>13183.2</v>
      </c>
      <c r="H4" s="76">
        <v>13306.2</v>
      </c>
      <c r="I4" s="76">
        <v>13806.6</v>
      </c>
      <c r="J4" s="76">
        <v>13950.9</v>
      </c>
      <c r="K4" s="76">
        <v>14382</v>
      </c>
      <c r="L4" s="76">
        <v>15006.3</v>
      </c>
      <c r="M4" s="76">
        <v>15581.4</v>
      </c>
      <c r="N4" s="76">
        <v>15965.7</v>
      </c>
      <c r="O4" s="76">
        <v>15965.7</v>
      </c>
      <c r="P4" s="76">
        <v>15965.7</v>
      </c>
      <c r="Q4" s="76">
        <v>15965.7</v>
      </c>
      <c r="R4" s="76">
        <v>16365.6</v>
      </c>
      <c r="S4" s="76">
        <v>16365.6</v>
      </c>
      <c r="T4" s="76">
        <v>16774.2</v>
      </c>
      <c r="U4" s="76">
        <v>16774.2</v>
      </c>
      <c r="V4" s="76">
        <v>16774.2</v>
      </c>
      <c r="W4" s="76">
        <v>16774.2</v>
      </c>
    </row>
    <row r="5" spans="1:23" ht="15.75" thickBot="1" x14ac:dyDescent="0.3">
      <c r="A5" s="11" t="s">
        <v>51</v>
      </c>
      <c r="B5" s="76">
        <v>9668.4</v>
      </c>
      <c r="C5" s="76">
        <v>10117.5</v>
      </c>
      <c r="D5" s="76">
        <v>10325.4</v>
      </c>
      <c r="E5" s="76">
        <v>10490.7</v>
      </c>
      <c r="F5" s="76">
        <v>10789.8</v>
      </c>
      <c r="G5" s="76">
        <v>11085.3</v>
      </c>
      <c r="H5" s="76">
        <v>11427</v>
      </c>
      <c r="I5" s="76">
        <v>11767.5</v>
      </c>
      <c r="J5" s="76">
        <v>12109.5</v>
      </c>
      <c r="K5" s="76">
        <v>13183.2</v>
      </c>
      <c r="L5" s="76">
        <v>14089.8</v>
      </c>
      <c r="M5" s="76">
        <v>14089.8</v>
      </c>
      <c r="N5" s="76">
        <v>14089.8</v>
      </c>
      <c r="O5" s="76">
        <v>14089.8</v>
      </c>
      <c r="P5" s="76">
        <v>14162.1</v>
      </c>
      <c r="Q5" s="76">
        <v>14162.1</v>
      </c>
      <c r="R5" s="76">
        <v>14445.6</v>
      </c>
      <c r="S5" s="76">
        <v>14445.6</v>
      </c>
      <c r="T5" s="76">
        <v>14445.6</v>
      </c>
      <c r="U5" s="76">
        <v>14445.6</v>
      </c>
      <c r="V5" s="76">
        <v>14445.6</v>
      </c>
      <c r="W5" s="76">
        <v>14445.6</v>
      </c>
    </row>
    <row r="6" spans="1:23" ht="15.75" thickBot="1" x14ac:dyDescent="0.3">
      <c r="A6" s="11" t="s">
        <v>52</v>
      </c>
      <c r="B6" s="76">
        <v>7332</v>
      </c>
      <c r="C6" s="76">
        <v>8054.7</v>
      </c>
      <c r="D6" s="76">
        <v>8583.2999999999993</v>
      </c>
      <c r="E6" s="76">
        <v>8583.2999999999993</v>
      </c>
      <c r="F6" s="76">
        <v>8616.2999999999993</v>
      </c>
      <c r="G6" s="76">
        <v>8985.2999999999993</v>
      </c>
      <c r="H6" s="76">
        <v>9034.5</v>
      </c>
      <c r="I6" s="76">
        <v>9034.5</v>
      </c>
      <c r="J6" s="76">
        <v>9547.7999999999993</v>
      </c>
      <c r="K6" s="76">
        <v>10455.299999999999</v>
      </c>
      <c r="L6" s="76">
        <v>10988.1</v>
      </c>
      <c r="M6" s="76">
        <v>11520.6</v>
      </c>
      <c r="N6" s="76">
        <v>11823.6</v>
      </c>
      <c r="O6" s="76">
        <v>12130.8</v>
      </c>
      <c r="P6" s="76">
        <v>12725.4</v>
      </c>
      <c r="Q6" s="76">
        <v>12725.4</v>
      </c>
      <c r="R6" s="76">
        <v>12979.5</v>
      </c>
      <c r="S6" s="76">
        <v>12979.5</v>
      </c>
      <c r="T6" s="76">
        <v>12979.5</v>
      </c>
      <c r="U6" s="76">
        <v>12979.5</v>
      </c>
      <c r="V6" s="76">
        <v>12979.5</v>
      </c>
      <c r="W6" s="76">
        <v>12979.5</v>
      </c>
    </row>
    <row r="7" spans="1:23" ht="15.75" thickBot="1" x14ac:dyDescent="0.3">
      <c r="A7" s="11" t="s">
        <v>33</v>
      </c>
      <c r="B7" s="76">
        <v>6112.2</v>
      </c>
      <c r="C7" s="76">
        <v>6885.3</v>
      </c>
      <c r="D7" s="76">
        <v>7361.7</v>
      </c>
      <c r="E7" s="76">
        <v>7451.4</v>
      </c>
      <c r="F7" s="76">
        <v>7749.3</v>
      </c>
      <c r="G7" s="76">
        <v>7926.9</v>
      </c>
      <c r="H7" s="76">
        <v>8318.1</v>
      </c>
      <c r="I7" s="76">
        <v>8605.7999999999993</v>
      </c>
      <c r="J7" s="76">
        <v>8976.9</v>
      </c>
      <c r="K7" s="76">
        <v>9543.9</v>
      </c>
      <c r="L7" s="76">
        <v>9813.9</v>
      </c>
      <c r="M7" s="76">
        <v>10080.9</v>
      </c>
      <c r="N7" s="76">
        <v>10384.200000000001</v>
      </c>
      <c r="O7" s="76">
        <v>10384.200000000001</v>
      </c>
      <c r="P7" s="76">
        <v>10384.200000000001</v>
      </c>
      <c r="Q7" s="76">
        <v>10384.200000000001</v>
      </c>
      <c r="R7" s="76">
        <v>10384.200000000001</v>
      </c>
      <c r="S7" s="76">
        <v>10384.200000000001</v>
      </c>
      <c r="T7" s="76">
        <v>10384.200000000001</v>
      </c>
      <c r="U7" s="76">
        <v>10384.200000000001</v>
      </c>
      <c r="V7" s="76">
        <v>10384.200000000001</v>
      </c>
      <c r="W7" s="76">
        <v>10384.200000000001</v>
      </c>
    </row>
    <row r="8" spans="1:23" ht="15.75" thickBot="1" x14ac:dyDescent="0.3">
      <c r="A8" s="11" t="s">
        <v>34</v>
      </c>
      <c r="B8" s="76">
        <v>5273.7</v>
      </c>
      <c r="C8" s="76">
        <v>6104.4</v>
      </c>
      <c r="D8" s="76">
        <v>6512.4</v>
      </c>
      <c r="E8" s="76">
        <v>6602.7</v>
      </c>
      <c r="F8" s="76">
        <v>6980.7</v>
      </c>
      <c r="G8" s="76">
        <v>7386.3</v>
      </c>
      <c r="H8" s="76">
        <v>7891.8</v>
      </c>
      <c r="I8" s="76">
        <v>8284.5</v>
      </c>
      <c r="J8" s="76">
        <v>8557.5</v>
      </c>
      <c r="K8" s="76">
        <v>8714.7000000000007</v>
      </c>
      <c r="L8" s="76">
        <v>8805.2999999999993</v>
      </c>
      <c r="M8" s="76">
        <v>8805.2999999999993</v>
      </c>
      <c r="N8" s="76">
        <v>8805.2999999999993</v>
      </c>
      <c r="O8" s="76">
        <v>8805.2999999999993</v>
      </c>
      <c r="P8" s="76">
        <v>8805.2999999999993</v>
      </c>
      <c r="Q8" s="76">
        <v>8805.2999999999993</v>
      </c>
      <c r="R8" s="76">
        <v>8805.2999999999993</v>
      </c>
      <c r="S8" s="76">
        <v>8805.2999999999993</v>
      </c>
      <c r="T8" s="76">
        <v>8805.2999999999993</v>
      </c>
      <c r="U8" s="76">
        <v>8805.2999999999993</v>
      </c>
      <c r="V8" s="76">
        <v>8805.2999999999993</v>
      </c>
      <c r="W8" s="76">
        <v>8805.2999999999993</v>
      </c>
    </row>
    <row r="9" spans="1:23" ht="15.75" thickBot="1" x14ac:dyDescent="0.3">
      <c r="A9" s="11" t="s">
        <v>53</v>
      </c>
      <c r="B9" s="76">
        <v>4636.5</v>
      </c>
      <c r="C9" s="76">
        <v>5256</v>
      </c>
      <c r="D9" s="76">
        <v>5672.4</v>
      </c>
      <c r="E9" s="76">
        <v>6185.4</v>
      </c>
      <c r="F9" s="76">
        <v>6482.1</v>
      </c>
      <c r="G9" s="76">
        <v>6807.3</v>
      </c>
      <c r="H9" s="76">
        <v>7017.3</v>
      </c>
      <c r="I9" s="76">
        <v>7362.9</v>
      </c>
      <c r="J9" s="76">
        <v>7543.5</v>
      </c>
      <c r="K9" s="76">
        <v>7543.5</v>
      </c>
      <c r="L9" s="76">
        <v>7543.5</v>
      </c>
      <c r="M9" s="76">
        <v>7543.5</v>
      </c>
      <c r="N9" s="76">
        <v>7543.5</v>
      </c>
      <c r="O9" s="76">
        <v>7543.5</v>
      </c>
      <c r="P9" s="76">
        <v>7543.5</v>
      </c>
      <c r="Q9" s="76">
        <v>7543.5</v>
      </c>
      <c r="R9" s="76">
        <v>7543.5</v>
      </c>
      <c r="S9" s="76">
        <v>7543.5</v>
      </c>
      <c r="T9" s="76">
        <v>7543.5</v>
      </c>
      <c r="U9" s="76">
        <v>7543.5</v>
      </c>
      <c r="V9" s="76">
        <v>7543.5</v>
      </c>
      <c r="W9" s="76">
        <v>7543.5</v>
      </c>
    </row>
    <row r="10" spans="1:23" ht="15.75" thickBot="1" x14ac:dyDescent="0.3">
      <c r="A10" s="11" t="s">
        <v>54</v>
      </c>
      <c r="B10" s="76">
        <v>4006.5</v>
      </c>
      <c r="C10" s="76">
        <v>4562.7</v>
      </c>
      <c r="D10" s="76">
        <v>5255.1</v>
      </c>
      <c r="E10" s="76">
        <v>5432.7</v>
      </c>
      <c r="F10" s="76">
        <v>5544.3</v>
      </c>
      <c r="G10" s="76">
        <v>5544.3</v>
      </c>
      <c r="H10" s="76">
        <v>5544.3</v>
      </c>
      <c r="I10" s="76">
        <v>5544.3</v>
      </c>
      <c r="J10" s="76">
        <v>5544.3</v>
      </c>
      <c r="K10" s="76">
        <v>5544.3</v>
      </c>
      <c r="L10" s="76">
        <v>5544.3</v>
      </c>
      <c r="M10" s="76">
        <v>5544.3</v>
      </c>
      <c r="N10" s="76">
        <v>5544.3</v>
      </c>
      <c r="O10" s="76">
        <v>5544.3</v>
      </c>
      <c r="P10" s="76">
        <v>5544.3</v>
      </c>
      <c r="Q10" s="76">
        <v>5544.3</v>
      </c>
      <c r="R10" s="76">
        <v>5544.3</v>
      </c>
      <c r="S10" s="76">
        <v>5544.3</v>
      </c>
      <c r="T10" s="76">
        <v>5544.3</v>
      </c>
      <c r="U10" s="76">
        <v>5544.3</v>
      </c>
      <c r="V10" s="76">
        <v>5544.3</v>
      </c>
      <c r="W10" s="76">
        <v>5544.3</v>
      </c>
    </row>
    <row r="11" spans="1:23" ht="15.75" thickBot="1" x14ac:dyDescent="0.3">
      <c r="A11" s="11" t="s">
        <v>55</v>
      </c>
      <c r="B11" s="76">
        <v>3477.3</v>
      </c>
      <c r="C11" s="76">
        <v>3619.5</v>
      </c>
      <c r="D11" s="76">
        <v>4375.5</v>
      </c>
      <c r="E11" s="76">
        <v>4375.5</v>
      </c>
      <c r="F11" s="76">
        <v>4375.5</v>
      </c>
      <c r="G11" s="76">
        <v>4375.5</v>
      </c>
      <c r="H11" s="76">
        <v>4375.5</v>
      </c>
      <c r="I11" s="76">
        <v>4375.5</v>
      </c>
      <c r="J11" s="76">
        <v>4375.5</v>
      </c>
      <c r="K11" s="76">
        <v>4375.5</v>
      </c>
      <c r="L11" s="76">
        <v>4375.5</v>
      </c>
      <c r="M11" s="76">
        <v>4375.5</v>
      </c>
      <c r="N11" s="76">
        <v>4375.5</v>
      </c>
      <c r="O11" s="76">
        <v>4375.5</v>
      </c>
      <c r="P11" s="76">
        <v>4375.5</v>
      </c>
      <c r="Q11" s="76">
        <v>4375.5</v>
      </c>
      <c r="R11" s="76">
        <v>4375.5</v>
      </c>
      <c r="S11" s="76">
        <v>4375.5</v>
      </c>
      <c r="T11" s="76">
        <v>4375.5</v>
      </c>
      <c r="U11" s="76">
        <v>4375.5</v>
      </c>
      <c r="V11" s="76">
        <v>4375.5</v>
      </c>
      <c r="W11" s="76">
        <v>4375.5</v>
      </c>
    </row>
    <row r="12" spans="1:23" ht="15.75" thickBot="1" x14ac:dyDescent="0.3">
      <c r="A12" s="13" t="s">
        <v>35</v>
      </c>
      <c r="B12" s="76">
        <v>8520.2999999999993</v>
      </c>
      <c r="C12" s="76">
        <v>8520.2999999999993</v>
      </c>
      <c r="D12" s="76">
        <v>8520.2999999999993</v>
      </c>
      <c r="E12" s="76">
        <v>8520.2999999999993</v>
      </c>
      <c r="F12" s="76">
        <v>8520.2999999999993</v>
      </c>
      <c r="G12" s="76">
        <v>8520.2999999999993</v>
      </c>
      <c r="H12" s="76">
        <v>8520.2999999999993</v>
      </c>
      <c r="I12" s="76">
        <v>8520.2999999999993</v>
      </c>
      <c r="J12" s="76">
        <v>8520.2999999999993</v>
      </c>
      <c r="K12" s="76">
        <v>8520.2999999999993</v>
      </c>
      <c r="L12" s="76">
        <v>8520.2999999999993</v>
      </c>
      <c r="M12" s="76">
        <v>8520.2999999999993</v>
      </c>
      <c r="N12" s="76">
        <v>8952.2999999999993</v>
      </c>
      <c r="O12" s="76">
        <v>9274.5</v>
      </c>
      <c r="P12" s="76">
        <v>9630.2999999999993</v>
      </c>
      <c r="Q12" s="76">
        <v>9630.2999999999993</v>
      </c>
      <c r="R12" s="76">
        <v>10112.700000000001</v>
      </c>
      <c r="S12" s="76">
        <v>10112.700000000001</v>
      </c>
      <c r="T12" s="76">
        <v>10617.6</v>
      </c>
      <c r="U12" s="76">
        <v>10617.6</v>
      </c>
      <c r="V12" s="76">
        <v>11149.5</v>
      </c>
      <c r="W12" s="76">
        <v>11149.5</v>
      </c>
    </row>
    <row r="13" spans="1:23" ht="15.75" thickBot="1" x14ac:dyDescent="0.3">
      <c r="A13" s="13" t="s">
        <v>36</v>
      </c>
      <c r="B13" s="76">
        <v>4791.8999999999996</v>
      </c>
      <c r="C13" s="76">
        <v>5154.3</v>
      </c>
      <c r="D13" s="76">
        <v>5302.2</v>
      </c>
      <c r="E13" s="76">
        <v>5447.7</v>
      </c>
      <c r="F13" s="76">
        <v>5698.5</v>
      </c>
      <c r="G13" s="76">
        <v>5946.6</v>
      </c>
      <c r="H13" s="76">
        <v>6198</v>
      </c>
      <c r="I13" s="76">
        <v>6575.4</v>
      </c>
      <c r="J13" s="76">
        <v>6906.6</v>
      </c>
      <c r="K13" s="76">
        <v>7221.9</v>
      </c>
      <c r="L13" s="76">
        <v>7480.2</v>
      </c>
      <c r="M13" s="76">
        <v>7731.9</v>
      </c>
      <c r="N13" s="76">
        <v>8101.2</v>
      </c>
      <c r="O13" s="76">
        <v>8404.7999999999993</v>
      </c>
      <c r="P13" s="76">
        <v>8751</v>
      </c>
      <c r="Q13" s="76">
        <v>8751</v>
      </c>
      <c r="R13" s="76">
        <v>8925.6</v>
      </c>
      <c r="S13" s="76">
        <v>8925.6</v>
      </c>
      <c r="T13" s="76">
        <v>8925.6</v>
      </c>
      <c r="U13" s="76">
        <v>8925.6</v>
      </c>
      <c r="V13" s="76">
        <v>8925.6</v>
      </c>
      <c r="W13" s="76">
        <v>8925.6</v>
      </c>
    </row>
    <row r="14" spans="1:23" ht="15.75" thickBot="1" x14ac:dyDescent="0.3">
      <c r="A14" s="13" t="s">
        <v>37</v>
      </c>
      <c r="B14" s="76">
        <v>4376.3999999999996</v>
      </c>
      <c r="C14" s="76">
        <v>4558.2</v>
      </c>
      <c r="D14" s="76">
        <v>4745.7</v>
      </c>
      <c r="E14" s="76">
        <v>4806.6000000000004</v>
      </c>
      <c r="F14" s="76">
        <v>5002.2</v>
      </c>
      <c r="G14" s="76">
        <v>5388</v>
      </c>
      <c r="H14" s="76">
        <v>5789.4</v>
      </c>
      <c r="I14" s="76">
        <v>5978.7</v>
      </c>
      <c r="J14" s="76">
        <v>6197.7</v>
      </c>
      <c r="K14" s="76">
        <v>6422.7</v>
      </c>
      <c r="L14" s="76">
        <v>6828.3</v>
      </c>
      <c r="M14" s="76">
        <v>7101.6</v>
      </c>
      <c r="N14" s="76">
        <v>7265.4</v>
      </c>
      <c r="O14" s="76">
        <v>7439.1</v>
      </c>
      <c r="P14" s="76">
        <v>7676.4</v>
      </c>
      <c r="Q14" s="76">
        <v>7676.4</v>
      </c>
      <c r="R14" s="76">
        <v>7676.4</v>
      </c>
      <c r="S14" s="76">
        <v>7676.4</v>
      </c>
      <c r="T14" s="76">
        <v>7676.4</v>
      </c>
      <c r="U14" s="76">
        <v>7676.4</v>
      </c>
      <c r="V14" s="76">
        <v>7676.4</v>
      </c>
      <c r="W14" s="76">
        <v>7676.4</v>
      </c>
    </row>
    <row r="15" spans="1:23" ht="15.75" thickBot="1" x14ac:dyDescent="0.3">
      <c r="A15" s="13" t="s">
        <v>38</v>
      </c>
      <c r="B15" s="76">
        <v>3872.1</v>
      </c>
      <c r="C15" s="76">
        <v>4238.3999999999996</v>
      </c>
      <c r="D15" s="76">
        <v>4350.8999999999996</v>
      </c>
      <c r="E15" s="76">
        <v>4428.6000000000004</v>
      </c>
      <c r="F15" s="76">
        <v>4679.3999999999996</v>
      </c>
      <c r="G15" s="76">
        <v>5069.7</v>
      </c>
      <c r="H15" s="76">
        <v>5263.5</v>
      </c>
      <c r="I15" s="76">
        <v>5453.7</v>
      </c>
      <c r="J15" s="76">
        <v>5686.5</v>
      </c>
      <c r="K15" s="76">
        <v>5868.6</v>
      </c>
      <c r="L15" s="76">
        <v>6033.3</v>
      </c>
      <c r="M15" s="76">
        <v>6230.7</v>
      </c>
      <c r="N15" s="76">
        <v>6360.3</v>
      </c>
      <c r="O15" s="76">
        <v>6462.9</v>
      </c>
      <c r="P15" s="76">
        <v>6462.9</v>
      </c>
      <c r="Q15" s="76">
        <v>6462.9</v>
      </c>
      <c r="R15" s="76">
        <v>6462.9</v>
      </c>
      <c r="S15" s="76">
        <v>6462.9</v>
      </c>
      <c r="T15" s="76">
        <v>6462.9</v>
      </c>
      <c r="U15" s="76">
        <v>6462.9</v>
      </c>
      <c r="V15" s="76">
        <v>6462.9</v>
      </c>
      <c r="W15" s="76">
        <v>6462.9</v>
      </c>
    </row>
    <row r="16" spans="1:23" ht="15.75" thickBot="1" x14ac:dyDescent="0.3">
      <c r="A16" s="13" t="s">
        <v>39</v>
      </c>
      <c r="B16" s="76">
        <v>3398.7</v>
      </c>
      <c r="C16" s="76">
        <v>3765</v>
      </c>
      <c r="D16" s="76">
        <v>3863.1</v>
      </c>
      <c r="E16" s="76">
        <v>4071</v>
      </c>
      <c r="F16" s="76">
        <v>4316.3999999999996</v>
      </c>
      <c r="G16" s="76">
        <v>4678.8</v>
      </c>
      <c r="H16" s="76">
        <v>4847.7</v>
      </c>
      <c r="I16" s="76">
        <v>5084.7</v>
      </c>
      <c r="J16" s="76">
        <v>5317.2</v>
      </c>
      <c r="K16" s="76">
        <v>5500.2</v>
      </c>
      <c r="L16" s="76">
        <v>5668.5</v>
      </c>
      <c r="M16" s="76">
        <v>5873.1</v>
      </c>
      <c r="N16" s="76">
        <v>5873.1</v>
      </c>
      <c r="O16" s="76">
        <v>5873.1</v>
      </c>
      <c r="P16" s="76">
        <v>5873.1</v>
      </c>
      <c r="Q16" s="76">
        <v>5873.1</v>
      </c>
      <c r="R16" s="76">
        <v>5873.1</v>
      </c>
      <c r="S16" s="76">
        <v>5873.1</v>
      </c>
      <c r="T16" s="76">
        <v>5873.1</v>
      </c>
      <c r="U16" s="76">
        <v>5873.1</v>
      </c>
      <c r="V16" s="76">
        <v>5873.1</v>
      </c>
      <c r="W16" s="76">
        <v>5873.1</v>
      </c>
    </row>
    <row r="17" spans="1:23" ht="15.75" thickBot="1" x14ac:dyDescent="0.3">
      <c r="A17" s="13" t="s">
        <v>40</v>
      </c>
      <c r="B17" s="76">
        <v>5789.1</v>
      </c>
      <c r="C17" s="76">
        <v>5789.1</v>
      </c>
      <c r="D17" s="76">
        <v>5789.1</v>
      </c>
      <c r="E17" s="76">
        <v>5789.1</v>
      </c>
      <c r="F17" s="76">
        <v>5789.1</v>
      </c>
      <c r="G17" s="76">
        <v>5789.1</v>
      </c>
      <c r="H17" s="76">
        <v>5789.1</v>
      </c>
      <c r="I17" s="76">
        <v>5920.5</v>
      </c>
      <c r="J17" s="76">
        <v>6085.8</v>
      </c>
      <c r="K17" s="76">
        <v>6279.9</v>
      </c>
      <c r="L17" s="76">
        <v>6477</v>
      </c>
      <c r="M17" s="76">
        <v>6790.5</v>
      </c>
      <c r="N17" s="76">
        <v>7056.9</v>
      </c>
      <c r="O17" s="76">
        <v>7336.2</v>
      </c>
      <c r="P17" s="76">
        <v>7764.3</v>
      </c>
      <c r="Q17" s="76">
        <v>7764.3</v>
      </c>
      <c r="R17" s="76">
        <v>8151.9</v>
      </c>
      <c r="S17" s="76">
        <v>8151.9</v>
      </c>
      <c r="T17" s="76">
        <v>8559.9</v>
      </c>
      <c r="U17" s="76">
        <v>8559.9</v>
      </c>
      <c r="V17" s="76">
        <v>8988.9</v>
      </c>
      <c r="W17" s="76">
        <v>8988.9</v>
      </c>
    </row>
    <row r="18" spans="1:23" ht="15.75" thickBot="1" x14ac:dyDescent="0.3">
      <c r="A18" s="13" t="s">
        <v>41</v>
      </c>
      <c r="B18" s="76">
        <v>4739.1000000000004</v>
      </c>
      <c r="C18" s="76">
        <v>4739.1000000000004</v>
      </c>
      <c r="D18" s="76">
        <v>4739.1000000000004</v>
      </c>
      <c r="E18" s="76">
        <v>4739.1000000000004</v>
      </c>
      <c r="F18" s="76">
        <v>4739.1000000000004</v>
      </c>
      <c r="G18" s="76">
        <v>4739.1000000000004</v>
      </c>
      <c r="H18" s="76">
        <v>4948.8</v>
      </c>
      <c r="I18" s="76">
        <v>5078.3999999999996</v>
      </c>
      <c r="J18" s="76">
        <v>5233.8</v>
      </c>
      <c r="K18" s="76">
        <v>5402.4</v>
      </c>
      <c r="L18" s="76">
        <v>5706.3</v>
      </c>
      <c r="M18" s="76">
        <v>5860.5</v>
      </c>
      <c r="N18" s="76">
        <v>6122.7</v>
      </c>
      <c r="O18" s="76">
        <v>6268.2</v>
      </c>
      <c r="P18" s="76">
        <v>6626.1</v>
      </c>
      <c r="Q18" s="76">
        <v>6626.1</v>
      </c>
      <c r="R18" s="76">
        <v>6759</v>
      </c>
      <c r="S18" s="76">
        <v>6759</v>
      </c>
      <c r="T18" s="76">
        <v>6759</v>
      </c>
      <c r="U18" s="76">
        <v>6759</v>
      </c>
      <c r="V18" s="76">
        <v>6759</v>
      </c>
      <c r="W18" s="76">
        <v>6759</v>
      </c>
    </row>
    <row r="19" spans="1:23" ht="15.75" thickBot="1" x14ac:dyDescent="0.3">
      <c r="A19" s="13" t="s">
        <v>42</v>
      </c>
      <c r="B19" s="76">
        <v>3294.3</v>
      </c>
      <c r="C19" s="76">
        <v>3595.5</v>
      </c>
      <c r="D19" s="76">
        <v>3733.5</v>
      </c>
      <c r="E19" s="76">
        <v>3915.3</v>
      </c>
      <c r="F19" s="76">
        <v>4058.1</v>
      </c>
      <c r="G19" s="76">
        <v>4302.6000000000004</v>
      </c>
      <c r="H19" s="76">
        <v>4440.6000000000004</v>
      </c>
      <c r="I19" s="76">
        <v>4685.1000000000004</v>
      </c>
      <c r="J19" s="76">
        <v>4888.5</v>
      </c>
      <c r="K19" s="76">
        <v>5027.3999999999996</v>
      </c>
      <c r="L19" s="76">
        <v>5175.3</v>
      </c>
      <c r="M19" s="76">
        <v>5232.6000000000004</v>
      </c>
      <c r="N19" s="76">
        <v>5424.9</v>
      </c>
      <c r="O19" s="76">
        <v>5528.1</v>
      </c>
      <c r="P19" s="76">
        <v>5921.1</v>
      </c>
      <c r="Q19" s="76">
        <v>5921.1</v>
      </c>
      <c r="R19" s="76">
        <v>5921.1</v>
      </c>
      <c r="S19" s="76">
        <v>5921.1</v>
      </c>
      <c r="T19" s="76">
        <v>5921.1</v>
      </c>
      <c r="U19" s="76">
        <v>5921.1</v>
      </c>
      <c r="V19" s="76">
        <v>5921.1</v>
      </c>
      <c r="W19" s="76">
        <v>5921.1</v>
      </c>
    </row>
    <row r="20" spans="1:23" ht="15.75" thickBot="1" x14ac:dyDescent="0.3">
      <c r="A20" s="13" t="s">
        <v>43</v>
      </c>
      <c r="B20" s="76">
        <v>2849.4</v>
      </c>
      <c r="C20" s="76">
        <v>3135.6</v>
      </c>
      <c r="D20" s="76">
        <v>3274.2</v>
      </c>
      <c r="E20" s="76">
        <v>3408.6</v>
      </c>
      <c r="F20" s="76">
        <v>3548.7</v>
      </c>
      <c r="G20" s="76">
        <v>3864.3</v>
      </c>
      <c r="H20" s="76">
        <v>3987.6</v>
      </c>
      <c r="I20" s="76">
        <v>4225.5</v>
      </c>
      <c r="J20" s="76">
        <v>4298.3999999999996</v>
      </c>
      <c r="K20" s="76">
        <v>4351.2</v>
      </c>
      <c r="L20" s="76">
        <v>4413.3</v>
      </c>
      <c r="M20" s="76">
        <v>4413.3</v>
      </c>
      <c r="N20" s="76">
        <v>4413.3</v>
      </c>
      <c r="O20" s="76">
        <v>4413.3</v>
      </c>
      <c r="P20" s="76">
        <v>4413.3</v>
      </c>
      <c r="Q20" s="76">
        <v>4413.3</v>
      </c>
      <c r="R20" s="76">
        <v>4413.3</v>
      </c>
      <c r="S20" s="76">
        <v>4413.3</v>
      </c>
      <c r="T20" s="76">
        <v>4413.3</v>
      </c>
      <c r="U20" s="76">
        <v>4413.3</v>
      </c>
      <c r="V20" s="76">
        <v>4413.3</v>
      </c>
      <c r="W20" s="76">
        <v>4413.3</v>
      </c>
    </row>
    <row r="21" spans="1:23" ht="15.75" thickBot="1" x14ac:dyDescent="0.3">
      <c r="A21" s="13" t="s">
        <v>44</v>
      </c>
      <c r="B21" s="76">
        <v>2610.3000000000002</v>
      </c>
      <c r="C21" s="76">
        <v>2786.1</v>
      </c>
      <c r="D21" s="76">
        <v>2920.8</v>
      </c>
      <c r="E21" s="76">
        <v>3058.5</v>
      </c>
      <c r="F21" s="76">
        <v>3273.3</v>
      </c>
      <c r="G21" s="76">
        <v>3497.7</v>
      </c>
      <c r="H21" s="76">
        <v>3682.2</v>
      </c>
      <c r="I21" s="76">
        <v>3704.4</v>
      </c>
      <c r="J21" s="76">
        <v>3704.4</v>
      </c>
      <c r="K21" s="76">
        <v>3704.4</v>
      </c>
      <c r="L21" s="76">
        <v>3704.4</v>
      </c>
      <c r="M21" s="76">
        <v>3704.4</v>
      </c>
      <c r="N21" s="76">
        <v>3704.4</v>
      </c>
      <c r="O21" s="76">
        <v>3704.4</v>
      </c>
      <c r="P21" s="76">
        <v>3704.4</v>
      </c>
      <c r="Q21" s="76">
        <v>3704.4</v>
      </c>
      <c r="R21" s="76">
        <v>3704.4</v>
      </c>
      <c r="S21" s="76">
        <v>3704.4</v>
      </c>
      <c r="T21" s="76">
        <v>3704.4</v>
      </c>
      <c r="U21" s="76">
        <v>3704.4</v>
      </c>
      <c r="V21" s="76">
        <v>3704.4</v>
      </c>
      <c r="W21" s="76">
        <v>3704.4</v>
      </c>
    </row>
    <row r="22" spans="1:23" ht="15.75" thickBot="1" x14ac:dyDescent="0.3">
      <c r="A22" s="13" t="s">
        <v>45</v>
      </c>
      <c r="B22" s="76">
        <v>2393.4</v>
      </c>
      <c r="C22" s="76">
        <v>2515.8000000000002</v>
      </c>
      <c r="D22" s="76">
        <v>2652</v>
      </c>
      <c r="E22" s="76">
        <v>2786.7</v>
      </c>
      <c r="F22" s="76">
        <v>2905.5</v>
      </c>
      <c r="G22" s="76">
        <v>2905.5</v>
      </c>
      <c r="H22" s="76">
        <v>2905.5</v>
      </c>
      <c r="I22" s="76">
        <v>2905.5</v>
      </c>
      <c r="J22" s="76">
        <v>2905.5</v>
      </c>
      <c r="K22" s="76">
        <v>2905.5</v>
      </c>
      <c r="L22" s="76">
        <v>2905.5</v>
      </c>
      <c r="M22" s="76">
        <v>2905.5</v>
      </c>
      <c r="N22" s="76">
        <v>2905.5</v>
      </c>
      <c r="O22" s="76">
        <v>2905.5</v>
      </c>
      <c r="P22" s="76">
        <v>2905.5</v>
      </c>
      <c r="Q22" s="76">
        <v>2905.5</v>
      </c>
      <c r="R22" s="76">
        <v>2905.5</v>
      </c>
      <c r="S22" s="76">
        <v>2905.5</v>
      </c>
      <c r="T22" s="76">
        <v>2905.5</v>
      </c>
      <c r="U22" s="76">
        <v>2905.5</v>
      </c>
      <c r="V22" s="76">
        <v>2905.5</v>
      </c>
      <c r="W22" s="76">
        <v>2905.5</v>
      </c>
    </row>
    <row r="23" spans="1:23" ht="15.75" thickBot="1" x14ac:dyDescent="0.3">
      <c r="A23" s="13" t="s">
        <v>46</v>
      </c>
      <c r="B23" s="76">
        <v>2160.6</v>
      </c>
      <c r="C23" s="76">
        <v>2296.5</v>
      </c>
      <c r="D23" s="76">
        <v>2435.6999999999998</v>
      </c>
      <c r="E23" s="76">
        <v>2435.6999999999998</v>
      </c>
      <c r="F23" s="76">
        <v>2435.6999999999998</v>
      </c>
      <c r="G23" s="76">
        <v>2435.6999999999998</v>
      </c>
      <c r="H23" s="76">
        <v>2435.6999999999998</v>
      </c>
      <c r="I23" s="76">
        <v>2435.6999999999998</v>
      </c>
      <c r="J23" s="76">
        <v>2435.6999999999998</v>
      </c>
      <c r="K23" s="76">
        <v>2435.6999999999998</v>
      </c>
      <c r="L23" s="76">
        <v>2435.6999999999998</v>
      </c>
      <c r="M23" s="76">
        <v>2435.6999999999998</v>
      </c>
      <c r="N23" s="76">
        <v>2435.6999999999998</v>
      </c>
      <c r="O23" s="76">
        <v>2435.6999999999998</v>
      </c>
      <c r="P23" s="76">
        <v>2435.6999999999998</v>
      </c>
      <c r="Q23" s="76">
        <v>2435.6999999999998</v>
      </c>
      <c r="R23" s="76">
        <v>2435.6999999999998</v>
      </c>
      <c r="S23" s="76">
        <v>2435.6999999999998</v>
      </c>
      <c r="T23" s="76">
        <v>2435.6999999999998</v>
      </c>
      <c r="U23" s="76">
        <v>2435.6999999999998</v>
      </c>
      <c r="V23" s="76">
        <v>2435.6999999999998</v>
      </c>
      <c r="W23" s="76">
        <v>2435.6999999999998</v>
      </c>
    </row>
    <row r="24" spans="1:23" ht="15.75" thickBot="1" x14ac:dyDescent="0.3">
      <c r="A24" s="13" t="s">
        <v>47</v>
      </c>
      <c r="B24" s="76">
        <v>2054.6999999999998</v>
      </c>
      <c r="C24" s="76">
        <v>2054.6999999999998</v>
      </c>
      <c r="D24" s="76">
        <v>2054.6999999999998</v>
      </c>
      <c r="E24" s="76">
        <v>2054.6999999999998</v>
      </c>
      <c r="F24" s="76">
        <v>2054.6999999999998</v>
      </c>
      <c r="G24" s="76">
        <v>2054.6999999999998</v>
      </c>
      <c r="H24" s="76">
        <v>2054.6999999999998</v>
      </c>
      <c r="I24" s="76">
        <v>2054.6999999999998</v>
      </c>
      <c r="J24" s="76">
        <v>2054.6999999999998</v>
      </c>
      <c r="K24" s="76">
        <v>2054.6999999999998</v>
      </c>
      <c r="L24" s="76">
        <v>2054.6999999999998</v>
      </c>
      <c r="M24" s="76">
        <v>2054.6999999999998</v>
      </c>
      <c r="N24" s="76">
        <v>2054.6999999999998</v>
      </c>
      <c r="O24" s="76">
        <v>2054.6999999999998</v>
      </c>
      <c r="P24" s="76">
        <v>2054.6999999999998</v>
      </c>
      <c r="Q24" s="76">
        <v>2054.6999999999998</v>
      </c>
      <c r="R24" s="76">
        <v>2054.6999999999998</v>
      </c>
      <c r="S24" s="76">
        <v>2054.6999999999998</v>
      </c>
      <c r="T24" s="76">
        <v>2054.6999999999998</v>
      </c>
      <c r="U24" s="76">
        <v>2054.6999999999998</v>
      </c>
      <c r="V24" s="76">
        <v>2054.6999999999998</v>
      </c>
      <c r="W24" s="76">
        <v>2054.6999999999998</v>
      </c>
    </row>
    <row r="25" spans="1:23" ht="15.75" thickBot="1" x14ac:dyDescent="0.3">
      <c r="A25" s="13" t="s">
        <v>56</v>
      </c>
      <c r="B25" s="76">
        <v>1833.3</v>
      </c>
      <c r="C25" s="76">
        <v>1833.3</v>
      </c>
      <c r="D25" s="76">
        <v>1833.3</v>
      </c>
      <c r="E25" s="76">
        <v>1833.3</v>
      </c>
      <c r="F25" s="76">
        <v>1833.3</v>
      </c>
      <c r="G25" s="76">
        <v>1833.3</v>
      </c>
      <c r="H25" s="76">
        <v>1833.3</v>
      </c>
      <c r="I25" s="76">
        <v>1833.3</v>
      </c>
      <c r="J25" s="76">
        <v>1833.3</v>
      </c>
      <c r="K25" s="76">
        <v>1833.3</v>
      </c>
      <c r="L25" s="76">
        <v>1833.3</v>
      </c>
      <c r="M25" s="76">
        <v>1833.3</v>
      </c>
      <c r="N25" s="76">
        <v>1833.3</v>
      </c>
      <c r="O25" s="76">
        <v>1833.3</v>
      </c>
      <c r="P25" s="76">
        <v>1833.3</v>
      </c>
      <c r="Q25" s="76">
        <v>1833.3</v>
      </c>
      <c r="R25" s="76">
        <v>1833.3</v>
      </c>
      <c r="S25" s="76">
        <v>1833.3</v>
      </c>
      <c r="T25" s="76">
        <v>1833.3</v>
      </c>
      <c r="U25" s="76">
        <v>1833.3</v>
      </c>
      <c r="V25" s="76">
        <v>1833.3</v>
      </c>
      <c r="W25" s="76">
        <v>1833.3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98ED4-15D4-40A4-BF23-8B16E3326513}">
  <sheetPr>
    <tabColor rgb="FF0070C0"/>
  </sheetPr>
  <dimension ref="A1:W25"/>
  <sheetViews>
    <sheetView workbookViewId="0">
      <selection activeCell="B2" sqref="B2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76">
        <v>16608.3</v>
      </c>
      <c r="C2" s="76">
        <v>16608.3</v>
      </c>
      <c r="D2" s="76">
        <v>16608.3</v>
      </c>
      <c r="E2" s="76">
        <v>16608.3</v>
      </c>
      <c r="F2" s="76">
        <v>16608.3</v>
      </c>
      <c r="G2" s="76">
        <v>16608.3</v>
      </c>
      <c r="H2" s="76">
        <v>16608.3</v>
      </c>
      <c r="I2" s="76">
        <v>16608.3</v>
      </c>
      <c r="J2" s="76">
        <v>16608.3</v>
      </c>
      <c r="K2" s="76">
        <v>16608.3</v>
      </c>
      <c r="L2" s="76">
        <v>16608.3</v>
      </c>
      <c r="M2" s="76">
        <v>16608.3</v>
      </c>
      <c r="N2" s="76">
        <v>16608.3</v>
      </c>
      <c r="O2" s="76">
        <v>16608.3</v>
      </c>
      <c r="P2" s="76">
        <v>16608.3</v>
      </c>
      <c r="Q2" s="76">
        <v>16608.3</v>
      </c>
      <c r="R2" s="76">
        <v>16608.3</v>
      </c>
      <c r="S2" s="76">
        <v>16608.3</v>
      </c>
      <c r="T2" s="76">
        <v>16608.3</v>
      </c>
      <c r="U2" s="76">
        <v>16608.3</v>
      </c>
      <c r="V2" s="76">
        <v>16608.3</v>
      </c>
      <c r="W2" s="76">
        <v>16608.3</v>
      </c>
    </row>
    <row r="3" spans="1:23" ht="15.75" thickBot="1" x14ac:dyDescent="0.3">
      <c r="A3" s="11" t="s">
        <v>49</v>
      </c>
      <c r="B3" s="76">
        <v>16012.5</v>
      </c>
      <c r="C3" s="76">
        <v>16012.5</v>
      </c>
      <c r="D3" s="76">
        <v>16012.5</v>
      </c>
      <c r="E3" s="76">
        <v>16012.5</v>
      </c>
      <c r="F3" s="76">
        <v>16012.5</v>
      </c>
      <c r="G3" s="76">
        <v>16012.5</v>
      </c>
      <c r="H3" s="76">
        <v>16012.5</v>
      </c>
      <c r="I3" s="76">
        <v>16012.5</v>
      </c>
      <c r="J3" s="76">
        <v>16012.5</v>
      </c>
      <c r="K3" s="76">
        <v>16012.5</v>
      </c>
      <c r="L3" s="76">
        <v>16012.5</v>
      </c>
      <c r="M3" s="76">
        <v>16012.5</v>
      </c>
      <c r="N3" s="76">
        <v>16243.8</v>
      </c>
      <c r="O3" s="76">
        <v>16576.8</v>
      </c>
      <c r="P3" s="76">
        <v>16608.3</v>
      </c>
      <c r="Q3" s="76">
        <v>16608.3</v>
      </c>
      <c r="R3" s="76">
        <v>16608.3</v>
      </c>
      <c r="S3" s="76">
        <v>16608.3</v>
      </c>
      <c r="T3" s="76">
        <v>16608.3</v>
      </c>
      <c r="U3" s="76">
        <v>16608.3</v>
      </c>
      <c r="V3" s="76">
        <v>16608.3</v>
      </c>
      <c r="W3" s="76">
        <v>16608.3</v>
      </c>
    </row>
    <row r="4" spans="1:23" ht="15.75" thickBot="1" x14ac:dyDescent="0.3">
      <c r="A4" s="11" t="s">
        <v>50</v>
      </c>
      <c r="B4" s="76">
        <v>11329.5</v>
      </c>
      <c r="C4" s="76">
        <v>11701.2</v>
      </c>
      <c r="D4" s="76">
        <v>11947.5</v>
      </c>
      <c r="E4" s="76">
        <v>12016.2</v>
      </c>
      <c r="F4" s="76">
        <v>12323.4</v>
      </c>
      <c r="G4" s="76">
        <v>12836.7</v>
      </c>
      <c r="H4" s="76">
        <v>12956.4</v>
      </c>
      <c r="I4" s="76">
        <v>13443.6</v>
      </c>
      <c r="J4" s="76">
        <v>13584</v>
      </c>
      <c r="K4" s="76">
        <v>14004</v>
      </c>
      <c r="L4" s="76">
        <v>14611.8</v>
      </c>
      <c r="M4" s="76">
        <v>15171.9</v>
      </c>
      <c r="N4" s="76">
        <v>15546</v>
      </c>
      <c r="O4" s="76">
        <v>15546</v>
      </c>
      <c r="P4" s="76">
        <v>15546</v>
      </c>
      <c r="Q4" s="76">
        <v>15546</v>
      </c>
      <c r="R4" s="76">
        <v>15935.4</v>
      </c>
      <c r="S4" s="76">
        <v>15935.4</v>
      </c>
      <c r="T4" s="76">
        <v>16333.2</v>
      </c>
      <c r="U4" s="76">
        <v>16333.2</v>
      </c>
      <c r="V4" s="76">
        <v>16333.2</v>
      </c>
      <c r="W4" s="76">
        <v>16333.2</v>
      </c>
    </row>
    <row r="5" spans="1:23" ht="15.75" thickBot="1" x14ac:dyDescent="0.3">
      <c r="A5" s="11" t="s">
        <v>51</v>
      </c>
      <c r="B5" s="76">
        <v>9414.2999999999993</v>
      </c>
      <c r="C5" s="76">
        <v>9851.4</v>
      </c>
      <c r="D5" s="76">
        <v>10053.9</v>
      </c>
      <c r="E5" s="76">
        <v>10215</v>
      </c>
      <c r="F5" s="76">
        <v>10506</v>
      </c>
      <c r="G5" s="76">
        <v>10794</v>
      </c>
      <c r="H5" s="76">
        <v>11126.7</v>
      </c>
      <c r="I5" s="76">
        <v>11458.2</v>
      </c>
      <c r="J5" s="76">
        <v>11791.2</v>
      </c>
      <c r="K5" s="76">
        <v>12836.7</v>
      </c>
      <c r="L5" s="76">
        <v>13719.3</v>
      </c>
      <c r="M5" s="76">
        <v>13719.3</v>
      </c>
      <c r="N5" s="76">
        <v>13719.3</v>
      </c>
      <c r="O5" s="76">
        <v>13719.3</v>
      </c>
      <c r="P5" s="76">
        <v>13789.8</v>
      </c>
      <c r="Q5" s="76">
        <v>13789.8</v>
      </c>
      <c r="R5" s="76">
        <v>14065.8</v>
      </c>
      <c r="S5" s="76">
        <v>14065.8</v>
      </c>
      <c r="T5" s="76">
        <v>14065.8</v>
      </c>
      <c r="U5" s="76">
        <v>14065.8</v>
      </c>
      <c r="V5" s="76">
        <v>14065.8</v>
      </c>
      <c r="W5" s="76">
        <v>14065.8</v>
      </c>
    </row>
    <row r="6" spans="1:23" ht="15.75" thickBot="1" x14ac:dyDescent="0.3">
      <c r="A6" s="11" t="s">
        <v>52</v>
      </c>
      <c r="B6" s="76">
        <v>7139.1</v>
      </c>
      <c r="C6" s="76">
        <v>7842.9</v>
      </c>
      <c r="D6" s="76">
        <v>8357.7000000000007</v>
      </c>
      <c r="E6" s="76">
        <v>8357.7000000000007</v>
      </c>
      <c r="F6" s="76">
        <v>8389.7999999999993</v>
      </c>
      <c r="G6" s="76">
        <v>8749.2000000000007</v>
      </c>
      <c r="H6" s="76">
        <v>8796.9</v>
      </c>
      <c r="I6" s="76">
        <v>8796.9</v>
      </c>
      <c r="J6" s="76">
        <v>9296.7000000000007</v>
      </c>
      <c r="K6" s="76">
        <v>10180.5</v>
      </c>
      <c r="L6" s="76">
        <v>10699.2</v>
      </c>
      <c r="M6" s="76">
        <v>11217.6</v>
      </c>
      <c r="N6" s="76">
        <v>11512.8</v>
      </c>
      <c r="O6" s="76">
        <v>11811.9</v>
      </c>
      <c r="P6" s="76">
        <v>12390.9</v>
      </c>
      <c r="Q6" s="76">
        <v>12390.9</v>
      </c>
      <c r="R6" s="76">
        <v>12638.4</v>
      </c>
      <c r="S6" s="76">
        <v>12638.4</v>
      </c>
      <c r="T6" s="76">
        <v>12638.4</v>
      </c>
      <c r="U6" s="76">
        <v>12638.4</v>
      </c>
      <c r="V6" s="76">
        <v>12638.4</v>
      </c>
      <c r="W6" s="76">
        <v>12638.4</v>
      </c>
    </row>
    <row r="7" spans="1:23" ht="15.75" thickBot="1" x14ac:dyDescent="0.3">
      <c r="A7" s="11" t="s">
        <v>33</v>
      </c>
      <c r="B7" s="76">
        <v>5951.4</v>
      </c>
      <c r="C7" s="76">
        <v>6704.4</v>
      </c>
      <c r="D7" s="76">
        <v>7168.2</v>
      </c>
      <c r="E7" s="76">
        <v>7255.5</v>
      </c>
      <c r="F7" s="76">
        <v>7545.6</v>
      </c>
      <c r="G7" s="76">
        <v>7718.4</v>
      </c>
      <c r="H7" s="76">
        <v>8099.4</v>
      </c>
      <c r="I7" s="76">
        <v>8379.6</v>
      </c>
      <c r="J7" s="76">
        <v>8740.7999999999993</v>
      </c>
      <c r="K7" s="76">
        <v>9293.1</v>
      </c>
      <c r="L7" s="76">
        <v>9555.9</v>
      </c>
      <c r="M7" s="76">
        <v>9816</v>
      </c>
      <c r="N7" s="76">
        <v>10111.200000000001</v>
      </c>
      <c r="O7" s="76">
        <v>10111.200000000001</v>
      </c>
      <c r="P7" s="76">
        <v>10111.200000000001</v>
      </c>
      <c r="Q7" s="76">
        <v>10111.200000000001</v>
      </c>
      <c r="R7" s="76">
        <v>10111.200000000001</v>
      </c>
      <c r="S7" s="76">
        <v>10111.200000000001</v>
      </c>
      <c r="T7" s="76">
        <v>10111.200000000001</v>
      </c>
      <c r="U7" s="76">
        <v>10111.200000000001</v>
      </c>
      <c r="V7" s="76">
        <v>10111.200000000001</v>
      </c>
      <c r="W7" s="76">
        <v>10111.200000000001</v>
      </c>
    </row>
    <row r="8" spans="1:23" ht="15.75" thickBot="1" x14ac:dyDescent="0.3">
      <c r="A8" s="11" t="s">
        <v>34</v>
      </c>
      <c r="B8" s="76">
        <v>5135.1000000000004</v>
      </c>
      <c r="C8" s="76">
        <v>5943.9</v>
      </c>
      <c r="D8" s="76">
        <v>6341.1</v>
      </c>
      <c r="E8" s="76">
        <v>6429</v>
      </c>
      <c r="F8" s="76">
        <v>6797.1</v>
      </c>
      <c r="G8" s="76">
        <v>7192.2</v>
      </c>
      <c r="H8" s="76">
        <v>7684.2</v>
      </c>
      <c r="I8" s="76">
        <v>8066.7</v>
      </c>
      <c r="J8" s="76">
        <v>8332.5</v>
      </c>
      <c r="K8" s="76">
        <v>8485.5</v>
      </c>
      <c r="L8" s="76">
        <v>8573.7000000000007</v>
      </c>
      <c r="M8" s="76">
        <v>8573.7000000000007</v>
      </c>
      <c r="N8" s="76">
        <v>8573.7000000000007</v>
      </c>
      <c r="O8" s="76">
        <v>8573.7000000000007</v>
      </c>
      <c r="P8" s="76">
        <v>8573.7000000000007</v>
      </c>
      <c r="Q8" s="76">
        <v>8573.7000000000007</v>
      </c>
      <c r="R8" s="76">
        <v>8573.7000000000007</v>
      </c>
      <c r="S8" s="76">
        <v>8573.7000000000007</v>
      </c>
      <c r="T8" s="76">
        <v>8573.7000000000007</v>
      </c>
      <c r="U8" s="76">
        <v>8573.7000000000007</v>
      </c>
      <c r="V8" s="76">
        <v>8573.7000000000007</v>
      </c>
      <c r="W8" s="76">
        <v>8573.7000000000007</v>
      </c>
    </row>
    <row r="9" spans="1:23" ht="15.75" thickBot="1" x14ac:dyDescent="0.3">
      <c r="A9" s="11" t="s">
        <v>53</v>
      </c>
      <c r="B9" s="76">
        <v>4514.7</v>
      </c>
      <c r="C9" s="76">
        <v>5117.7</v>
      </c>
      <c r="D9" s="76">
        <v>5523.3</v>
      </c>
      <c r="E9" s="76">
        <v>6022.8</v>
      </c>
      <c r="F9" s="76">
        <v>6311.7</v>
      </c>
      <c r="G9" s="76">
        <v>6628.2</v>
      </c>
      <c r="H9" s="76">
        <v>6832.8</v>
      </c>
      <c r="I9" s="76">
        <v>7169.4</v>
      </c>
      <c r="J9" s="76">
        <v>7345.2</v>
      </c>
      <c r="K9" s="76">
        <v>7345.2</v>
      </c>
      <c r="L9" s="76">
        <v>7345.2</v>
      </c>
      <c r="M9" s="76">
        <v>7345.2</v>
      </c>
      <c r="N9" s="76">
        <v>7345.2</v>
      </c>
      <c r="O9" s="76">
        <v>7345.2</v>
      </c>
      <c r="P9" s="76">
        <v>7345.2</v>
      </c>
      <c r="Q9" s="76">
        <v>7345.2</v>
      </c>
      <c r="R9" s="76">
        <v>7345.2</v>
      </c>
      <c r="S9" s="76">
        <v>7345.2</v>
      </c>
      <c r="T9" s="76">
        <v>7345.2</v>
      </c>
      <c r="U9" s="76">
        <v>7345.2</v>
      </c>
      <c r="V9" s="76">
        <v>7345.2</v>
      </c>
      <c r="W9" s="76">
        <v>7345.2</v>
      </c>
    </row>
    <row r="10" spans="1:23" ht="15.75" thickBot="1" x14ac:dyDescent="0.3">
      <c r="A10" s="11" t="s">
        <v>54</v>
      </c>
      <c r="B10" s="76">
        <v>3901.2</v>
      </c>
      <c r="C10" s="76">
        <v>4442.7</v>
      </c>
      <c r="D10" s="76">
        <v>5116.8</v>
      </c>
      <c r="E10" s="76">
        <v>5289.9</v>
      </c>
      <c r="F10" s="76">
        <v>5398.5</v>
      </c>
      <c r="G10" s="76">
        <v>5398.5</v>
      </c>
      <c r="H10" s="76">
        <v>5398.5</v>
      </c>
      <c r="I10" s="76">
        <v>5398.5</v>
      </c>
      <c r="J10" s="76">
        <v>5398.5</v>
      </c>
      <c r="K10" s="76">
        <v>5398.5</v>
      </c>
      <c r="L10" s="76">
        <v>5398.5</v>
      </c>
      <c r="M10" s="76">
        <v>5398.5</v>
      </c>
      <c r="N10" s="76">
        <v>5398.5</v>
      </c>
      <c r="O10" s="76">
        <v>5398.5</v>
      </c>
      <c r="P10" s="76">
        <v>5398.5</v>
      </c>
      <c r="Q10" s="76">
        <v>5398.5</v>
      </c>
      <c r="R10" s="76">
        <v>5398.5</v>
      </c>
      <c r="S10" s="76">
        <v>5398.5</v>
      </c>
      <c r="T10" s="76">
        <v>5398.5</v>
      </c>
      <c r="U10" s="76">
        <v>5398.5</v>
      </c>
      <c r="V10" s="76">
        <v>5398.5</v>
      </c>
      <c r="W10" s="76">
        <v>5398.5</v>
      </c>
    </row>
    <row r="11" spans="1:23" ht="15.75" thickBot="1" x14ac:dyDescent="0.3">
      <c r="A11" s="11" t="s">
        <v>55</v>
      </c>
      <c r="B11" s="76">
        <v>3385.8</v>
      </c>
      <c r="C11" s="76">
        <v>3524.4</v>
      </c>
      <c r="D11" s="76">
        <v>4260.6000000000004</v>
      </c>
      <c r="E11" s="76">
        <v>4260.6000000000004</v>
      </c>
      <c r="F11" s="76">
        <v>4260.6000000000004</v>
      </c>
      <c r="G11" s="76">
        <v>4260.6000000000004</v>
      </c>
      <c r="H11" s="76">
        <v>4260.6000000000004</v>
      </c>
      <c r="I11" s="76">
        <v>4260.6000000000004</v>
      </c>
      <c r="J11" s="76">
        <v>4260.6000000000004</v>
      </c>
      <c r="K11" s="76">
        <v>4260.6000000000004</v>
      </c>
      <c r="L11" s="76">
        <v>4260.6000000000004</v>
      </c>
      <c r="M11" s="76">
        <v>4260.6000000000004</v>
      </c>
      <c r="N11" s="76">
        <v>4260.6000000000004</v>
      </c>
      <c r="O11" s="76">
        <v>4260.6000000000004</v>
      </c>
      <c r="P11" s="76">
        <v>4260.6000000000004</v>
      </c>
      <c r="Q11" s="76">
        <v>4260.6000000000004</v>
      </c>
      <c r="R11" s="76">
        <v>4260.6000000000004</v>
      </c>
      <c r="S11" s="76">
        <v>4260.6000000000004</v>
      </c>
      <c r="T11" s="76">
        <v>4260.6000000000004</v>
      </c>
      <c r="U11" s="76">
        <v>4260.6000000000004</v>
      </c>
      <c r="V11" s="76">
        <v>4260.6000000000004</v>
      </c>
      <c r="W11" s="76">
        <v>4260.6000000000004</v>
      </c>
    </row>
    <row r="12" spans="1:23" ht="15.75" thickBot="1" x14ac:dyDescent="0.3">
      <c r="A12" s="13" t="s">
        <v>35</v>
      </c>
      <c r="B12" s="76">
        <v>8296.2000000000007</v>
      </c>
      <c r="C12" s="76">
        <v>8296.2000000000007</v>
      </c>
      <c r="D12" s="76">
        <v>8296.2000000000007</v>
      </c>
      <c r="E12" s="76">
        <v>8296.2000000000007</v>
      </c>
      <c r="F12" s="76">
        <v>8296.2000000000007</v>
      </c>
      <c r="G12" s="76">
        <v>8296.2000000000007</v>
      </c>
      <c r="H12" s="76">
        <v>8296.2000000000007</v>
      </c>
      <c r="I12" s="76">
        <v>8296.2000000000007</v>
      </c>
      <c r="J12" s="76">
        <v>8296.2000000000007</v>
      </c>
      <c r="K12" s="76">
        <v>8296.2000000000007</v>
      </c>
      <c r="L12" s="76">
        <v>8296.2000000000007</v>
      </c>
      <c r="M12" s="76">
        <v>8296.2000000000007</v>
      </c>
      <c r="N12" s="76">
        <v>8716.7999999999993</v>
      </c>
      <c r="O12" s="76">
        <v>9030.6</v>
      </c>
      <c r="P12" s="76">
        <v>9377.1</v>
      </c>
      <c r="Q12" s="76">
        <v>9377.1</v>
      </c>
      <c r="R12" s="76">
        <v>9846.9</v>
      </c>
      <c r="S12" s="76">
        <v>9846.9</v>
      </c>
      <c r="T12" s="76">
        <v>10338.6</v>
      </c>
      <c r="U12" s="76">
        <v>10338.6</v>
      </c>
      <c r="V12" s="76">
        <v>10856.4</v>
      </c>
      <c r="W12" s="76">
        <v>10856.4</v>
      </c>
    </row>
    <row r="13" spans="1:23" ht="15.75" thickBot="1" x14ac:dyDescent="0.3">
      <c r="A13" s="13" t="s">
        <v>36</v>
      </c>
      <c r="B13" s="76">
        <v>4665.8999999999996</v>
      </c>
      <c r="C13" s="76">
        <v>5018.7</v>
      </c>
      <c r="D13" s="76">
        <v>5162.7</v>
      </c>
      <c r="E13" s="76">
        <v>5304.6</v>
      </c>
      <c r="F13" s="76">
        <v>5548.8</v>
      </c>
      <c r="G13" s="76">
        <v>5790.3</v>
      </c>
      <c r="H13" s="76">
        <v>6035.1</v>
      </c>
      <c r="I13" s="76">
        <v>6402.6</v>
      </c>
      <c r="J13" s="76">
        <v>6725.1</v>
      </c>
      <c r="K13" s="76">
        <v>7032</v>
      </c>
      <c r="L13" s="76">
        <v>7283.4</v>
      </c>
      <c r="M13" s="76">
        <v>7528.5</v>
      </c>
      <c r="N13" s="76">
        <v>7888.2</v>
      </c>
      <c r="O13" s="76">
        <v>8183.7</v>
      </c>
      <c r="P13" s="76">
        <v>8520.9</v>
      </c>
      <c r="Q13" s="76">
        <v>8520.9</v>
      </c>
      <c r="R13" s="76">
        <v>8691</v>
      </c>
      <c r="S13" s="76">
        <v>8691</v>
      </c>
      <c r="T13" s="76">
        <v>8691</v>
      </c>
      <c r="U13" s="76">
        <v>8691</v>
      </c>
      <c r="V13" s="76">
        <v>8691</v>
      </c>
      <c r="W13" s="76">
        <v>8691</v>
      </c>
    </row>
    <row r="14" spans="1:23" ht="15.75" thickBot="1" x14ac:dyDescent="0.3">
      <c r="A14" s="13" t="s">
        <v>37</v>
      </c>
      <c r="B14" s="76">
        <v>4261.2</v>
      </c>
      <c r="C14" s="76">
        <v>4438.5</v>
      </c>
      <c r="D14" s="76">
        <v>4620.8999999999996</v>
      </c>
      <c r="E14" s="76">
        <v>4680.3</v>
      </c>
      <c r="F14" s="76">
        <v>4870.8</v>
      </c>
      <c r="G14" s="76">
        <v>5246.4</v>
      </c>
      <c r="H14" s="76">
        <v>5637.3</v>
      </c>
      <c r="I14" s="76">
        <v>5821.5</v>
      </c>
      <c r="J14" s="76">
        <v>6034.8</v>
      </c>
      <c r="K14" s="76">
        <v>6253.8</v>
      </c>
      <c r="L14" s="76">
        <v>6648.9</v>
      </c>
      <c r="M14" s="76">
        <v>6915</v>
      </c>
      <c r="N14" s="76">
        <v>7074.3</v>
      </c>
      <c r="O14" s="76">
        <v>7243.5</v>
      </c>
      <c r="P14" s="76">
        <v>7474.5</v>
      </c>
      <c r="Q14" s="76">
        <v>7474.5</v>
      </c>
      <c r="R14" s="76">
        <v>7474.5</v>
      </c>
      <c r="S14" s="76">
        <v>7474.5</v>
      </c>
      <c r="T14" s="76">
        <v>7474.5</v>
      </c>
      <c r="U14" s="76">
        <v>7474.5</v>
      </c>
      <c r="V14" s="76">
        <v>7474.5</v>
      </c>
      <c r="W14" s="76">
        <v>7474.5</v>
      </c>
    </row>
    <row r="15" spans="1:23" ht="15.75" thickBot="1" x14ac:dyDescent="0.3">
      <c r="A15" s="13" t="s">
        <v>38</v>
      </c>
      <c r="B15" s="76">
        <v>3770.4</v>
      </c>
      <c r="C15" s="76">
        <v>4127.1000000000004</v>
      </c>
      <c r="D15" s="76">
        <v>4236.6000000000004</v>
      </c>
      <c r="E15" s="76">
        <v>4312.2</v>
      </c>
      <c r="F15" s="76">
        <v>4556.3999999999996</v>
      </c>
      <c r="G15" s="76">
        <v>4936.5</v>
      </c>
      <c r="H15" s="76">
        <v>5125.2</v>
      </c>
      <c r="I15" s="76">
        <v>5310.3</v>
      </c>
      <c r="J15" s="76">
        <v>5537.1</v>
      </c>
      <c r="K15" s="76">
        <v>5714.4</v>
      </c>
      <c r="L15" s="76">
        <v>5874.6</v>
      </c>
      <c r="M15" s="76">
        <v>6066.9</v>
      </c>
      <c r="N15" s="76">
        <v>6193.2</v>
      </c>
      <c r="O15" s="76">
        <v>6293.1</v>
      </c>
      <c r="P15" s="76">
        <v>6293.1</v>
      </c>
      <c r="Q15" s="76">
        <v>6293.1</v>
      </c>
      <c r="R15" s="76">
        <v>6293.1</v>
      </c>
      <c r="S15" s="76">
        <v>6293.1</v>
      </c>
      <c r="T15" s="76">
        <v>6293.1</v>
      </c>
      <c r="U15" s="76">
        <v>6293.1</v>
      </c>
      <c r="V15" s="76">
        <v>6293.1</v>
      </c>
      <c r="W15" s="76">
        <v>6293.1</v>
      </c>
    </row>
    <row r="16" spans="1:23" ht="15.75" thickBot="1" x14ac:dyDescent="0.3">
      <c r="A16" s="13" t="s">
        <v>39</v>
      </c>
      <c r="B16" s="76">
        <v>3309.3</v>
      </c>
      <c r="C16" s="76">
        <v>3666</v>
      </c>
      <c r="D16" s="76">
        <v>3761.4</v>
      </c>
      <c r="E16" s="76">
        <v>3963.9</v>
      </c>
      <c r="F16" s="76">
        <v>4203</v>
      </c>
      <c r="G16" s="76">
        <v>4555.8</v>
      </c>
      <c r="H16" s="76">
        <v>4720.2</v>
      </c>
      <c r="I16" s="76">
        <v>4950.8999999999996</v>
      </c>
      <c r="J16" s="76">
        <v>5177.3999999999996</v>
      </c>
      <c r="K16" s="76">
        <v>5355.6</v>
      </c>
      <c r="L16" s="76">
        <v>5519.4</v>
      </c>
      <c r="M16" s="76">
        <v>5718.6</v>
      </c>
      <c r="N16" s="76">
        <v>5718.6</v>
      </c>
      <c r="O16" s="76">
        <v>5718.6</v>
      </c>
      <c r="P16" s="76">
        <v>5718.6</v>
      </c>
      <c r="Q16" s="76">
        <v>5718.6</v>
      </c>
      <c r="R16" s="76">
        <v>5718.6</v>
      </c>
      <c r="S16" s="76">
        <v>5718.6</v>
      </c>
      <c r="T16" s="76">
        <v>5718.6</v>
      </c>
      <c r="U16" s="76">
        <v>5718.6</v>
      </c>
      <c r="V16" s="76">
        <v>5718.6</v>
      </c>
      <c r="W16" s="76">
        <v>5718.6</v>
      </c>
    </row>
    <row r="17" spans="1:23" ht="15.75" thickBot="1" x14ac:dyDescent="0.3">
      <c r="A17" s="13" t="s">
        <v>40</v>
      </c>
      <c r="B17" s="76">
        <v>5637</v>
      </c>
      <c r="C17" s="76">
        <v>5637</v>
      </c>
      <c r="D17" s="76">
        <v>5637</v>
      </c>
      <c r="E17" s="76">
        <v>5637</v>
      </c>
      <c r="F17" s="76">
        <v>5637</v>
      </c>
      <c r="G17" s="76">
        <v>5637</v>
      </c>
      <c r="H17" s="76">
        <v>5637</v>
      </c>
      <c r="I17" s="76">
        <v>5764.8</v>
      </c>
      <c r="J17" s="76">
        <v>5925.9</v>
      </c>
      <c r="K17" s="76">
        <v>6114.9</v>
      </c>
      <c r="L17" s="76">
        <v>6306.6</v>
      </c>
      <c r="M17" s="76">
        <v>6612</v>
      </c>
      <c r="N17" s="76">
        <v>6871.5</v>
      </c>
      <c r="O17" s="76">
        <v>7143.3</v>
      </c>
      <c r="P17" s="76">
        <v>7560.3</v>
      </c>
      <c r="Q17" s="76">
        <v>7560.3</v>
      </c>
      <c r="R17" s="76">
        <v>7937.7</v>
      </c>
      <c r="S17" s="76">
        <v>7937.7</v>
      </c>
      <c r="T17" s="76">
        <v>8334.9</v>
      </c>
      <c r="U17" s="76">
        <v>8334.9</v>
      </c>
      <c r="V17" s="76">
        <v>8752.5</v>
      </c>
      <c r="W17" s="76">
        <v>8752.5</v>
      </c>
    </row>
    <row r="18" spans="1:23" ht="15.75" thickBot="1" x14ac:dyDescent="0.3">
      <c r="A18" s="13" t="s">
        <v>41</v>
      </c>
      <c r="B18" s="76">
        <v>4614.6000000000004</v>
      </c>
      <c r="C18" s="76">
        <v>4614.6000000000004</v>
      </c>
      <c r="D18" s="76">
        <v>4614.6000000000004</v>
      </c>
      <c r="E18" s="76">
        <v>4614.6000000000004</v>
      </c>
      <c r="F18" s="76">
        <v>4614.6000000000004</v>
      </c>
      <c r="G18" s="76">
        <v>4614.6000000000004</v>
      </c>
      <c r="H18" s="76">
        <v>4818.6000000000004</v>
      </c>
      <c r="I18" s="76">
        <v>4944.8999999999996</v>
      </c>
      <c r="J18" s="76">
        <v>5096.1000000000004</v>
      </c>
      <c r="K18" s="76">
        <v>5260.5</v>
      </c>
      <c r="L18" s="76">
        <v>5556.3</v>
      </c>
      <c r="M18" s="76">
        <v>5706.3</v>
      </c>
      <c r="N18" s="76">
        <v>5961.6</v>
      </c>
      <c r="O18" s="76">
        <v>6103.5</v>
      </c>
      <c r="P18" s="76">
        <v>6451.8</v>
      </c>
      <c r="Q18" s="76">
        <v>6451.8</v>
      </c>
      <c r="R18" s="76">
        <v>6581.4</v>
      </c>
      <c r="S18" s="76">
        <v>6581.4</v>
      </c>
      <c r="T18" s="76">
        <v>6581.4</v>
      </c>
      <c r="U18" s="76">
        <v>6581.4</v>
      </c>
      <c r="V18" s="76">
        <v>6581.4</v>
      </c>
      <c r="W18" s="76">
        <v>6581.4</v>
      </c>
    </row>
    <row r="19" spans="1:23" ht="15.75" thickBot="1" x14ac:dyDescent="0.3">
      <c r="A19" s="13" t="s">
        <v>42</v>
      </c>
      <c r="B19" s="76">
        <v>3207.6</v>
      </c>
      <c r="C19" s="76">
        <v>3501</v>
      </c>
      <c r="D19" s="76">
        <v>3635.4</v>
      </c>
      <c r="E19" s="76">
        <v>3812.4</v>
      </c>
      <c r="F19" s="76">
        <v>3951.3</v>
      </c>
      <c r="G19" s="76">
        <v>4189.5</v>
      </c>
      <c r="H19" s="76">
        <v>4323.8999999999996</v>
      </c>
      <c r="I19" s="76">
        <v>4561.8</v>
      </c>
      <c r="J19" s="76">
        <v>4760.1000000000004</v>
      </c>
      <c r="K19" s="76">
        <v>4895.1000000000004</v>
      </c>
      <c r="L19" s="76">
        <v>5039.1000000000004</v>
      </c>
      <c r="M19" s="76">
        <v>5094.8999999999996</v>
      </c>
      <c r="N19" s="76">
        <v>5282.4</v>
      </c>
      <c r="O19" s="76">
        <v>5382.9</v>
      </c>
      <c r="P19" s="76">
        <v>5765.4</v>
      </c>
      <c r="Q19" s="76">
        <v>5765.4</v>
      </c>
      <c r="R19" s="76">
        <v>5765.4</v>
      </c>
      <c r="S19" s="76">
        <v>5765.4</v>
      </c>
      <c r="T19" s="76">
        <v>5765.4</v>
      </c>
      <c r="U19" s="76">
        <v>5765.4</v>
      </c>
      <c r="V19" s="76">
        <v>5765.4</v>
      </c>
      <c r="W19" s="76">
        <v>5765.4</v>
      </c>
    </row>
    <row r="20" spans="1:23" ht="15.75" thickBot="1" x14ac:dyDescent="0.3">
      <c r="A20" s="13" t="s">
        <v>43</v>
      </c>
      <c r="B20" s="76">
        <v>2774.4</v>
      </c>
      <c r="C20" s="76">
        <v>3053.1</v>
      </c>
      <c r="D20" s="76">
        <v>3188.1</v>
      </c>
      <c r="E20" s="76">
        <v>3318.9</v>
      </c>
      <c r="F20" s="76">
        <v>3455.4</v>
      </c>
      <c r="G20" s="76">
        <v>3762.6</v>
      </c>
      <c r="H20" s="76">
        <v>3882.9</v>
      </c>
      <c r="I20" s="76">
        <v>4114.5</v>
      </c>
      <c r="J20" s="76">
        <v>4185.3</v>
      </c>
      <c r="K20" s="76">
        <v>4236.8999999999996</v>
      </c>
      <c r="L20" s="76">
        <v>4297.2</v>
      </c>
      <c r="M20" s="76">
        <v>4297.2</v>
      </c>
      <c r="N20" s="76">
        <v>4297.2</v>
      </c>
      <c r="O20" s="76">
        <v>4297.2</v>
      </c>
      <c r="P20" s="76">
        <v>4297.2</v>
      </c>
      <c r="Q20" s="76">
        <v>4297.2</v>
      </c>
      <c r="R20" s="76">
        <v>4297.2</v>
      </c>
      <c r="S20" s="76">
        <v>4297.2</v>
      </c>
      <c r="T20" s="76">
        <v>4297.2</v>
      </c>
      <c r="U20" s="76">
        <v>4297.2</v>
      </c>
      <c r="V20" s="76">
        <v>4297.2</v>
      </c>
      <c r="W20" s="76">
        <v>4297.2</v>
      </c>
    </row>
    <row r="21" spans="1:23" ht="15.75" thickBot="1" x14ac:dyDescent="0.3">
      <c r="A21" s="13" t="s">
        <v>44</v>
      </c>
      <c r="B21" s="76">
        <v>2541.6</v>
      </c>
      <c r="C21" s="76">
        <v>2712.9</v>
      </c>
      <c r="D21" s="76">
        <v>2844</v>
      </c>
      <c r="E21" s="76">
        <v>2978.1</v>
      </c>
      <c r="F21" s="76">
        <v>3187.2</v>
      </c>
      <c r="G21" s="76">
        <v>3405.6</v>
      </c>
      <c r="H21" s="76">
        <v>3585.3</v>
      </c>
      <c r="I21" s="76">
        <v>3606.9</v>
      </c>
      <c r="J21" s="76">
        <v>3606.9</v>
      </c>
      <c r="K21" s="76">
        <v>3606.9</v>
      </c>
      <c r="L21" s="76">
        <v>3606.9</v>
      </c>
      <c r="M21" s="76">
        <v>3606.9</v>
      </c>
      <c r="N21" s="76">
        <v>3606.9</v>
      </c>
      <c r="O21" s="76">
        <v>3606.9</v>
      </c>
      <c r="P21" s="76">
        <v>3606.9</v>
      </c>
      <c r="Q21" s="76">
        <v>3606.9</v>
      </c>
      <c r="R21" s="76">
        <v>3606.9</v>
      </c>
      <c r="S21" s="76">
        <v>3606.9</v>
      </c>
      <c r="T21" s="76">
        <v>3606.9</v>
      </c>
      <c r="U21" s="76">
        <v>3606.9</v>
      </c>
      <c r="V21" s="76">
        <v>3606.9</v>
      </c>
      <c r="W21" s="76">
        <v>3606.9</v>
      </c>
    </row>
    <row r="22" spans="1:23" ht="15.75" thickBot="1" x14ac:dyDescent="0.3">
      <c r="A22" s="13" t="s">
        <v>45</v>
      </c>
      <c r="B22" s="76">
        <v>2330.4</v>
      </c>
      <c r="C22" s="76">
        <v>2449.8000000000002</v>
      </c>
      <c r="D22" s="76">
        <v>2582.4</v>
      </c>
      <c r="E22" s="76">
        <v>2713.5</v>
      </c>
      <c r="F22" s="76">
        <v>2829</v>
      </c>
      <c r="G22" s="76">
        <v>2829</v>
      </c>
      <c r="H22" s="76">
        <v>2829</v>
      </c>
      <c r="I22" s="76">
        <v>2829</v>
      </c>
      <c r="J22" s="76">
        <v>2829</v>
      </c>
      <c r="K22" s="76">
        <v>2829</v>
      </c>
      <c r="L22" s="76">
        <v>2829</v>
      </c>
      <c r="M22" s="76">
        <v>2829</v>
      </c>
      <c r="N22" s="76">
        <v>2829</v>
      </c>
      <c r="O22" s="76">
        <v>2829</v>
      </c>
      <c r="P22" s="76">
        <v>2829</v>
      </c>
      <c r="Q22" s="76">
        <v>2829</v>
      </c>
      <c r="R22" s="76">
        <v>2829</v>
      </c>
      <c r="S22" s="76">
        <v>2829</v>
      </c>
      <c r="T22" s="76">
        <v>2829</v>
      </c>
      <c r="U22" s="76">
        <v>2829</v>
      </c>
      <c r="V22" s="76">
        <v>2829</v>
      </c>
      <c r="W22" s="76">
        <v>2829</v>
      </c>
    </row>
    <row r="23" spans="1:23" ht="15.75" thickBot="1" x14ac:dyDescent="0.3">
      <c r="A23" s="13" t="s">
        <v>46</v>
      </c>
      <c r="B23" s="76">
        <v>2103.9</v>
      </c>
      <c r="C23" s="76">
        <v>2236.1999999999998</v>
      </c>
      <c r="D23" s="76">
        <v>2371.8000000000002</v>
      </c>
      <c r="E23" s="76">
        <v>2371.8000000000002</v>
      </c>
      <c r="F23" s="76">
        <v>2371.8000000000002</v>
      </c>
      <c r="G23" s="76">
        <v>2371.8000000000002</v>
      </c>
      <c r="H23" s="76">
        <v>2371.8000000000002</v>
      </c>
      <c r="I23" s="76">
        <v>2371.8000000000002</v>
      </c>
      <c r="J23" s="76">
        <v>2371.8000000000002</v>
      </c>
      <c r="K23" s="76">
        <v>2371.8000000000002</v>
      </c>
      <c r="L23" s="76">
        <v>2371.8000000000002</v>
      </c>
      <c r="M23" s="76">
        <v>2371.8000000000002</v>
      </c>
      <c r="N23" s="76">
        <v>2371.8000000000002</v>
      </c>
      <c r="O23" s="76">
        <v>2371.8000000000002</v>
      </c>
      <c r="P23" s="76">
        <v>2371.8000000000002</v>
      </c>
      <c r="Q23" s="76">
        <v>2371.8000000000002</v>
      </c>
      <c r="R23" s="76">
        <v>2371.8000000000002</v>
      </c>
      <c r="S23" s="76">
        <v>2371.8000000000002</v>
      </c>
      <c r="T23" s="76">
        <v>2371.8000000000002</v>
      </c>
      <c r="U23" s="76">
        <v>2371.8000000000002</v>
      </c>
      <c r="V23" s="76">
        <v>2371.8000000000002</v>
      </c>
      <c r="W23" s="76">
        <v>2371.8000000000002</v>
      </c>
    </row>
    <row r="24" spans="1:23" ht="15.75" thickBot="1" x14ac:dyDescent="0.3">
      <c r="A24" s="13" t="s">
        <v>47</v>
      </c>
      <c r="B24" s="76">
        <v>2000.7</v>
      </c>
      <c r="C24" s="76">
        <v>2000.7</v>
      </c>
      <c r="D24" s="76">
        <v>2000.7</v>
      </c>
      <c r="E24" s="76">
        <v>2000.7</v>
      </c>
      <c r="F24" s="76">
        <v>2000.7</v>
      </c>
      <c r="G24" s="76">
        <v>2000.7</v>
      </c>
      <c r="H24" s="76">
        <v>2000.7</v>
      </c>
      <c r="I24" s="76">
        <v>2000.7</v>
      </c>
      <c r="J24" s="76">
        <v>2000.7</v>
      </c>
      <c r="K24" s="76">
        <v>2000.7</v>
      </c>
      <c r="L24" s="76">
        <v>2000.7</v>
      </c>
      <c r="M24" s="76">
        <v>2000.7</v>
      </c>
      <c r="N24" s="76">
        <v>2000.7</v>
      </c>
      <c r="O24" s="76">
        <v>2000.7</v>
      </c>
      <c r="P24" s="76">
        <v>2000.7</v>
      </c>
      <c r="Q24" s="76">
        <v>2000.7</v>
      </c>
      <c r="R24" s="76">
        <v>2000.7</v>
      </c>
      <c r="S24" s="76">
        <v>2000.7</v>
      </c>
      <c r="T24" s="76">
        <v>2000.7</v>
      </c>
      <c r="U24" s="76">
        <v>2000.7</v>
      </c>
      <c r="V24" s="76">
        <v>2000.7</v>
      </c>
      <c r="W24" s="76">
        <v>2000.7</v>
      </c>
    </row>
    <row r="25" spans="1:23" ht="15.75" thickBot="1" x14ac:dyDescent="0.3">
      <c r="A25" s="13" t="s">
        <v>56</v>
      </c>
      <c r="B25" s="76">
        <v>1785</v>
      </c>
      <c r="C25" s="76">
        <v>1785</v>
      </c>
      <c r="D25" s="76">
        <v>1785</v>
      </c>
      <c r="E25" s="76">
        <v>1785</v>
      </c>
      <c r="F25" s="76">
        <v>1785</v>
      </c>
      <c r="G25" s="76">
        <v>1785</v>
      </c>
      <c r="H25" s="76">
        <v>1785</v>
      </c>
      <c r="I25" s="76">
        <v>1785</v>
      </c>
      <c r="J25" s="76">
        <v>1785</v>
      </c>
      <c r="K25" s="76">
        <v>1785</v>
      </c>
      <c r="L25" s="76">
        <v>1785</v>
      </c>
      <c r="M25" s="76">
        <v>1785</v>
      </c>
      <c r="N25" s="76">
        <v>1785</v>
      </c>
      <c r="O25" s="76">
        <v>1785</v>
      </c>
      <c r="P25" s="76">
        <v>1785</v>
      </c>
      <c r="Q25" s="76">
        <v>1785</v>
      </c>
      <c r="R25" s="76">
        <v>1785</v>
      </c>
      <c r="S25" s="76">
        <v>1785</v>
      </c>
      <c r="T25" s="76">
        <v>1785</v>
      </c>
      <c r="U25" s="76">
        <v>1785</v>
      </c>
      <c r="V25" s="76">
        <v>1785</v>
      </c>
      <c r="W25" s="76">
        <v>1785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60A72-BA46-45CF-AF03-5F2EF5121B03}">
  <sheetPr>
    <tabColor rgb="FF0070C0"/>
  </sheetPr>
  <dimension ref="A1:W25"/>
  <sheetViews>
    <sheetView workbookViewId="0">
      <selection activeCell="G16" sqref="G16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21">
        <v>16441.8</v>
      </c>
      <c r="C2" s="21">
        <v>16441.8</v>
      </c>
      <c r="D2" s="21">
        <v>16441.8</v>
      </c>
      <c r="E2" s="21">
        <v>16441.8</v>
      </c>
      <c r="F2" s="21">
        <v>16441.8</v>
      </c>
      <c r="G2" s="21">
        <v>16441.8</v>
      </c>
      <c r="H2" s="21">
        <v>16441.8</v>
      </c>
      <c r="I2" s="21">
        <v>16441.8</v>
      </c>
      <c r="J2" s="21">
        <v>16441.8</v>
      </c>
      <c r="K2" s="21">
        <v>16441.8</v>
      </c>
      <c r="L2" s="21">
        <v>16441.8</v>
      </c>
      <c r="M2" s="21">
        <v>16441.8</v>
      </c>
      <c r="N2" s="21">
        <v>16441.8</v>
      </c>
      <c r="O2" s="21">
        <v>16441.8</v>
      </c>
      <c r="P2" s="21">
        <v>16441.8</v>
      </c>
      <c r="Q2" s="21">
        <v>16441.8</v>
      </c>
      <c r="R2" s="21">
        <v>16441.8</v>
      </c>
      <c r="S2" s="21">
        <v>16441.8</v>
      </c>
      <c r="T2" s="21">
        <v>16441.8</v>
      </c>
      <c r="U2" s="21">
        <v>16441.8</v>
      </c>
      <c r="V2" s="21">
        <v>16441.8</v>
      </c>
      <c r="W2" s="21">
        <v>16441.8</v>
      </c>
    </row>
    <row r="3" spans="1:23" ht="15.75" thickBot="1" x14ac:dyDescent="0.3">
      <c r="A3" s="11" t="s">
        <v>49</v>
      </c>
      <c r="B3" s="21">
        <v>15546</v>
      </c>
      <c r="C3" s="21">
        <v>15546</v>
      </c>
      <c r="D3" s="21">
        <v>15546</v>
      </c>
      <c r="E3" s="21">
        <v>15546</v>
      </c>
      <c r="F3" s="21">
        <v>15546</v>
      </c>
      <c r="G3" s="21">
        <v>15546</v>
      </c>
      <c r="H3" s="21">
        <v>15546</v>
      </c>
      <c r="I3" s="21">
        <v>15546</v>
      </c>
      <c r="J3" s="21">
        <v>15546</v>
      </c>
      <c r="K3" s="21">
        <v>15546</v>
      </c>
      <c r="L3" s="21">
        <v>15546</v>
      </c>
      <c r="M3" s="21">
        <v>15546</v>
      </c>
      <c r="N3" s="21">
        <v>15770.7</v>
      </c>
      <c r="O3" s="21">
        <v>16094.1</v>
      </c>
      <c r="P3" s="21">
        <v>16441.8</v>
      </c>
      <c r="Q3" s="21">
        <v>16441.8</v>
      </c>
      <c r="R3" s="21">
        <v>16441.8</v>
      </c>
      <c r="S3" s="21">
        <v>16441.8</v>
      </c>
      <c r="T3" s="21">
        <v>16441.8</v>
      </c>
      <c r="U3" s="21">
        <v>16441.8</v>
      </c>
      <c r="V3" s="21">
        <v>16441.8</v>
      </c>
      <c r="W3" s="21">
        <v>16441.8</v>
      </c>
    </row>
    <row r="4" spans="1:23" ht="15.75" thickBot="1" x14ac:dyDescent="0.3">
      <c r="A4" s="11" t="s">
        <v>50</v>
      </c>
      <c r="B4" s="19">
        <v>10999.5</v>
      </c>
      <c r="C4" s="19">
        <v>11360.4</v>
      </c>
      <c r="D4" s="19">
        <v>11599.5</v>
      </c>
      <c r="E4" s="19">
        <v>11666.1</v>
      </c>
      <c r="F4" s="19">
        <v>11964.6</v>
      </c>
      <c r="G4" s="19">
        <v>12462.9</v>
      </c>
      <c r="H4" s="21">
        <v>12579</v>
      </c>
      <c r="I4" s="21">
        <v>13052.1</v>
      </c>
      <c r="J4" s="21">
        <v>13188.3</v>
      </c>
      <c r="K4" s="21">
        <v>13596</v>
      </c>
      <c r="L4" s="21">
        <v>14186.1</v>
      </c>
      <c r="M4" s="21">
        <v>14730</v>
      </c>
      <c r="N4" s="21">
        <v>15093.3</v>
      </c>
      <c r="O4" s="21">
        <v>15093.3</v>
      </c>
      <c r="P4" s="21">
        <v>15093.3</v>
      </c>
      <c r="Q4" s="21">
        <v>15093.3</v>
      </c>
      <c r="R4" s="21">
        <v>15471.3</v>
      </c>
      <c r="S4" s="21">
        <v>15471.3</v>
      </c>
      <c r="T4" s="21">
        <v>15857.4</v>
      </c>
      <c r="U4" s="21">
        <v>15857.4</v>
      </c>
      <c r="V4" s="21">
        <v>15857.4</v>
      </c>
      <c r="W4" s="21">
        <v>15857.4</v>
      </c>
    </row>
    <row r="5" spans="1:23" ht="15.75" thickBot="1" x14ac:dyDescent="0.3">
      <c r="A5" s="11" t="s">
        <v>51</v>
      </c>
      <c r="B5" s="19">
        <v>9140.1</v>
      </c>
      <c r="C5" s="19">
        <v>9564.6</v>
      </c>
      <c r="D5" s="19">
        <v>9761.1</v>
      </c>
      <c r="E5" s="19">
        <v>9917.4</v>
      </c>
      <c r="F5" s="19">
        <v>10200</v>
      </c>
      <c r="G5" s="19">
        <v>10479.6</v>
      </c>
      <c r="H5" s="21">
        <v>10802.7</v>
      </c>
      <c r="I5" s="21">
        <v>11124.6</v>
      </c>
      <c r="J5" s="21">
        <v>11447.7</v>
      </c>
      <c r="K5" s="21">
        <v>12462.9</v>
      </c>
      <c r="L5" s="21">
        <v>13319.7</v>
      </c>
      <c r="M5" s="21">
        <v>13319.7</v>
      </c>
      <c r="N5" s="21">
        <v>13319.7</v>
      </c>
      <c r="O5" s="21">
        <v>13319.7</v>
      </c>
      <c r="P5" s="21">
        <v>13388.1</v>
      </c>
      <c r="Q5" s="21">
        <v>13388.1</v>
      </c>
      <c r="R5" s="21">
        <v>13656</v>
      </c>
      <c r="S5" s="21">
        <v>13656</v>
      </c>
      <c r="T5" s="21">
        <v>13656</v>
      </c>
      <c r="U5" s="21">
        <v>13656</v>
      </c>
      <c r="V5" s="21">
        <v>13656</v>
      </c>
      <c r="W5" s="21">
        <v>13656</v>
      </c>
    </row>
    <row r="6" spans="1:23" ht="15.75" thickBot="1" x14ac:dyDescent="0.3">
      <c r="A6" s="11" t="s">
        <v>52</v>
      </c>
      <c r="B6" s="19">
        <v>6931.2</v>
      </c>
      <c r="C6" s="19">
        <v>7614.6</v>
      </c>
      <c r="D6" s="19">
        <v>8114.4</v>
      </c>
      <c r="E6" s="19">
        <v>8114.4</v>
      </c>
      <c r="F6" s="19">
        <v>8145.3</v>
      </c>
      <c r="G6" s="19">
        <v>8494.5</v>
      </c>
      <c r="H6" s="21">
        <v>8540.7000000000007</v>
      </c>
      <c r="I6" s="21">
        <v>8540.7000000000007</v>
      </c>
      <c r="J6" s="21">
        <v>9025.7999999999993</v>
      </c>
      <c r="K6" s="21">
        <v>9884.1</v>
      </c>
      <c r="L6" s="21">
        <v>10387.5</v>
      </c>
      <c r="M6" s="21">
        <v>10890.9</v>
      </c>
      <c r="N6" s="21">
        <v>11177.4</v>
      </c>
      <c r="O6" s="21">
        <v>11467.8</v>
      </c>
      <c r="P6" s="21">
        <v>12030</v>
      </c>
      <c r="Q6" s="21">
        <v>12030</v>
      </c>
      <c r="R6" s="21">
        <v>12270.3</v>
      </c>
      <c r="S6" s="21">
        <v>12270.3</v>
      </c>
      <c r="T6" s="21">
        <v>12270.3</v>
      </c>
      <c r="U6" s="21">
        <v>12270.3</v>
      </c>
      <c r="V6" s="21">
        <v>12270.3</v>
      </c>
      <c r="W6" s="21">
        <v>12270.3</v>
      </c>
    </row>
    <row r="7" spans="1:23" ht="15.75" thickBot="1" x14ac:dyDescent="0.3">
      <c r="A7" s="11" t="s">
        <v>33</v>
      </c>
      <c r="B7" s="19">
        <v>5778</v>
      </c>
      <c r="C7" s="19">
        <v>6509.1</v>
      </c>
      <c r="D7" s="19">
        <v>6959.4</v>
      </c>
      <c r="E7" s="19">
        <v>7044.3</v>
      </c>
      <c r="F7" s="19">
        <v>7325.7</v>
      </c>
      <c r="G7" s="19">
        <v>7493.7</v>
      </c>
      <c r="H7" s="21">
        <v>7863.6</v>
      </c>
      <c r="I7" s="21">
        <v>8135.4</v>
      </c>
      <c r="J7" s="21">
        <v>8486.1</v>
      </c>
      <c r="K7" s="21">
        <v>9022.5</v>
      </c>
      <c r="L7" s="21">
        <v>9277.5</v>
      </c>
      <c r="M7" s="21">
        <v>9530.1</v>
      </c>
      <c r="N7" s="21">
        <v>9816.6</v>
      </c>
      <c r="O7" s="21">
        <v>9816.6</v>
      </c>
      <c r="P7" s="21">
        <v>9816.6</v>
      </c>
      <c r="Q7" s="21">
        <v>9816.6</v>
      </c>
      <c r="R7" s="21">
        <v>9816.6</v>
      </c>
      <c r="S7" s="21">
        <v>9816.6</v>
      </c>
      <c r="T7" s="21">
        <v>9816.6</v>
      </c>
      <c r="U7" s="21">
        <v>9816.6</v>
      </c>
      <c r="V7" s="21">
        <v>9816.6</v>
      </c>
      <c r="W7" s="21">
        <v>9816.6</v>
      </c>
    </row>
    <row r="8" spans="1:23" ht="15.75" thickBot="1" x14ac:dyDescent="0.3">
      <c r="A8" s="11" t="s">
        <v>34</v>
      </c>
      <c r="B8" s="19">
        <v>4985.3999999999996</v>
      </c>
      <c r="C8" s="19">
        <v>5770.8</v>
      </c>
      <c r="D8" s="19">
        <v>6156.3</v>
      </c>
      <c r="E8" s="19">
        <v>6241.8</v>
      </c>
      <c r="F8" s="19">
        <v>6599.1</v>
      </c>
      <c r="G8" s="19">
        <v>6982.8</v>
      </c>
      <c r="H8" s="21">
        <v>7460.4</v>
      </c>
      <c r="I8" s="21">
        <v>7831.8</v>
      </c>
      <c r="J8" s="21">
        <v>8089.8</v>
      </c>
      <c r="K8" s="21">
        <v>8238.2999999999993</v>
      </c>
      <c r="L8" s="21">
        <v>8324.1</v>
      </c>
      <c r="M8" s="21">
        <v>8324.1</v>
      </c>
      <c r="N8" s="21">
        <v>8324.1</v>
      </c>
      <c r="O8" s="21">
        <v>8324.1</v>
      </c>
      <c r="P8" s="21">
        <v>8324.1</v>
      </c>
      <c r="Q8" s="21">
        <v>8324.1</v>
      </c>
      <c r="R8" s="21">
        <v>8324.1</v>
      </c>
      <c r="S8" s="21">
        <v>8324.1</v>
      </c>
      <c r="T8" s="21">
        <v>8324.1</v>
      </c>
      <c r="U8" s="21">
        <v>8324.1</v>
      </c>
      <c r="V8" s="21">
        <v>8324.1</v>
      </c>
      <c r="W8" s="21">
        <v>8324.1</v>
      </c>
    </row>
    <row r="9" spans="1:23" ht="15.75" thickBot="1" x14ac:dyDescent="0.3">
      <c r="A9" s="11" t="s">
        <v>53</v>
      </c>
      <c r="B9" s="19">
        <v>4383.3</v>
      </c>
      <c r="C9" s="19">
        <v>4968.6000000000004</v>
      </c>
      <c r="D9" s="19">
        <v>5362.5</v>
      </c>
      <c r="E9" s="19">
        <v>5847.3</v>
      </c>
      <c r="F9" s="19">
        <v>6127.8</v>
      </c>
      <c r="G9" s="19">
        <v>6435</v>
      </c>
      <c r="H9" s="21">
        <v>6633.9</v>
      </c>
      <c r="I9" s="21">
        <v>6960.6</v>
      </c>
      <c r="J9" s="21">
        <v>7131.3</v>
      </c>
      <c r="K9" s="21">
        <v>7131.3</v>
      </c>
      <c r="L9" s="21">
        <v>7131.3</v>
      </c>
      <c r="M9" s="21">
        <v>7131.3</v>
      </c>
      <c r="N9" s="21">
        <v>7131.3</v>
      </c>
      <c r="O9" s="21">
        <v>7131.3</v>
      </c>
      <c r="P9" s="21">
        <v>7131.3</v>
      </c>
      <c r="Q9" s="21">
        <v>7131.3</v>
      </c>
      <c r="R9" s="21">
        <v>7131.3</v>
      </c>
      <c r="S9" s="21">
        <v>7131.3</v>
      </c>
      <c r="T9" s="21">
        <v>7131.3</v>
      </c>
      <c r="U9" s="21">
        <v>7131.3</v>
      </c>
      <c r="V9" s="21">
        <v>7131.3</v>
      </c>
      <c r="W9" s="21">
        <v>7131.3</v>
      </c>
    </row>
    <row r="10" spans="1:23" ht="15.75" thickBot="1" x14ac:dyDescent="0.3">
      <c r="A10" s="11" t="s">
        <v>54</v>
      </c>
      <c r="B10" s="19">
        <v>3787.5</v>
      </c>
      <c r="C10" s="19">
        <v>4313.3999999999996</v>
      </c>
      <c r="D10" s="19">
        <v>4967.7</v>
      </c>
      <c r="E10" s="19">
        <v>5135.7</v>
      </c>
      <c r="F10" s="19">
        <v>5241.3</v>
      </c>
      <c r="G10" s="19">
        <v>5241.3</v>
      </c>
      <c r="H10" s="21">
        <v>5241.3</v>
      </c>
      <c r="I10" s="21">
        <v>5241.3</v>
      </c>
      <c r="J10" s="21">
        <v>5241.3</v>
      </c>
      <c r="K10" s="21">
        <v>5241.3</v>
      </c>
      <c r="L10" s="21">
        <v>5241.3</v>
      </c>
      <c r="M10" s="21">
        <v>5241.3</v>
      </c>
      <c r="N10" s="21">
        <v>5241.3</v>
      </c>
      <c r="O10" s="21">
        <v>5241.3</v>
      </c>
      <c r="P10" s="21">
        <v>5241.3</v>
      </c>
      <c r="Q10" s="21">
        <v>5241.3</v>
      </c>
      <c r="R10" s="21">
        <v>5241.3</v>
      </c>
      <c r="S10" s="21">
        <v>5241.3</v>
      </c>
      <c r="T10" s="21">
        <v>5241.3</v>
      </c>
      <c r="U10" s="21">
        <v>5241.3</v>
      </c>
      <c r="V10" s="21">
        <v>5241.3</v>
      </c>
      <c r="W10" s="21">
        <v>5241.3</v>
      </c>
    </row>
    <row r="11" spans="1:23" ht="15.75" thickBot="1" x14ac:dyDescent="0.3">
      <c r="A11" s="11" t="s">
        <v>55</v>
      </c>
      <c r="B11" s="19">
        <v>3287.1</v>
      </c>
      <c r="C11" s="19">
        <v>3421.8</v>
      </c>
      <c r="D11" s="19">
        <v>4136.3999999999996</v>
      </c>
      <c r="E11" s="19">
        <v>4136.3999999999996</v>
      </c>
      <c r="F11" s="19">
        <v>4136.3999999999996</v>
      </c>
      <c r="G11" s="19">
        <v>4136.3999999999996</v>
      </c>
      <c r="H11" s="21">
        <v>4136.3999999999996</v>
      </c>
      <c r="I11" s="21">
        <v>4136.3999999999996</v>
      </c>
      <c r="J11" s="21">
        <v>4136.3999999999996</v>
      </c>
      <c r="K11" s="21">
        <v>4136.3999999999996</v>
      </c>
      <c r="L11" s="21">
        <v>4136.3999999999996</v>
      </c>
      <c r="M11" s="21">
        <v>4136.3999999999996</v>
      </c>
      <c r="N11" s="21">
        <v>4136.3999999999996</v>
      </c>
      <c r="O11" s="21">
        <v>4136.3999999999996</v>
      </c>
      <c r="P11" s="21">
        <v>4136.3999999999996</v>
      </c>
      <c r="Q11" s="21">
        <v>4136.3999999999996</v>
      </c>
      <c r="R11" s="21">
        <v>4136.3999999999996</v>
      </c>
      <c r="S11" s="21">
        <v>4136.3999999999996</v>
      </c>
      <c r="T11" s="21">
        <v>4136.3999999999996</v>
      </c>
      <c r="U11" s="21">
        <v>4136.3999999999996</v>
      </c>
      <c r="V11" s="21">
        <v>4136.3999999999996</v>
      </c>
      <c r="W11" s="21">
        <v>4136.3999999999996</v>
      </c>
    </row>
    <row r="12" spans="1:23" ht="15.75" thickBot="1" x14ac:dyDescent="0.3">
      <c r="A12" s="13" t="s">
        <v>35</v>
      </c>
      <c r="B12" s="21">
        <v>8054.7</v>
      </c>
      <c r="C12" s="21">
        <v>8054.7</v>
      </c>
      <c r="D12" s="21">
        <v>8054.7</v>
      </c>
      <c r="E12" s="21">
        <v>8054.7</v>
      </c>
      <c r="F12" s="21">
        <v>8054.7</v>
      </c>
      <c r="G12" s="21">
        <v>8054.7</v>
      </c>
      <c r="H12" s="21">
        <v>8054.7</v>
      </c>
      <c r="I12" s="21">
        <v>8054.7</v>
      </c>
      <c r="J12" s="21">
        <v>8054.7</v>
      </c>
      <c r="K12" s="21">
        <v>8054.7</v>
      </c>
      <c r="L12" s="21">
        <v>8054.7</v>
      </c>
      <c r="M12" s="21">
        <v>8054.7</v>
      </c>
      <c r="N12" s="21">
        <v>8463</v>
      </c>
      <c r="O12" s="21">
        <v>8767.5</v>
      </c>
      <c r="P12" s="21">
        <v>9104.1</v>
      </c>
      <c r="Q12" s="21">
        <v>9104.1</v>
      </c>
      <c r="R12" s="21">
        <v>9560.1</v>
      </c>
      <c r="S12" s="21">
        <v>9560.1</v>
      </c>
      <c r="T12" s="21">
        <v>10037.4</v>
      </c>
      <c r="U12" s="21">
        <v>10037.4</v>
      </c>
      <c r="V12" s="21">
        <v>10540.2</v>
      </c>
      <c r="W12" s="21">
        <v>10540.2</v>
      </c>
    </row>
    <row r="13" spans="1:23" ht="15.75" thickBot="1" x14ac:dyDescent="0.3">
      <c r="A13" s="13" t="s">
        <v>36</v>
      </c>
      <c r="B13" s="21">
        <v>4530</v>
      </c>
      <c r="C13" s="21">
        <v>4872.6000000000004</v>
      </c>
      <c r="D13" s="21">
        <v>5012.3999999999996</v>
      </c>
      <c r="E13" s="21">
        <v>5150.1000000000004</v>
      </c>
      <c r="F13" s="21">
        <v>5387.1</v>
      </c>
      <c r="G13" s="21">
        <v>5621.7</v>
      </c>
      <c r="H13" s="21">
        <v>5859.3</v>
      </c>
      <c r="I13" s="21">
        <v>6216</v>
      </c>
      <c r="J13" s="21">
        <v>6529.2</v>
      </c>
      <c r="K13" s="21">
        <v>6827.1</v>
      </c>
      <c r="L13" s="21">
        <v>7071.3</v>
      </c>
      <c r="M13" s="21">
        <v>7309.2</v>
      </c>
      <c r="N13" s="21">
        <v>7658.4</v>
      </c>
      <c r="O13" s="21">
        <v>7945.2</v>
      </c>
      <c r="P13" s="21">
        <v>8272.7999999999993</v>
      </c>
      <c r="Q13" s="21">
        <v>8272.7999999999993</v>
      </c>
      <c r="R13" s="21">
        <v>8437.7999999999993</v>
      </c>
      <c r="S13" s="21">
        <v>8437.7999999999993</v>
      </c>
      <c r="T13" s="21">
        <v>8437.7999999999993</v>
      </c>
      <c r="U13" s="21">
        <v>8437.7999999999993</v>
      </c>
      <c r="V13" s="21">
        <v>8437.7999999999993</v>
      </c>
      <c r="W13" s="21">
        <v>8437.7999999999993</v>
      </c>
    </row>
    <row r="14" spans="1:23" ht="15.75" thickBot="1" x14ac:dyDescent="0.3">
      <c r="A14" s="13" t="s">
        <v>37</v>
      </c>
      <c r="B14" s="64">
        <v>4137</v>
      </c>
      <c r="C14" s="21">
        <v>4309.2</v>
      </c>
      <c r="D14" s="21">
        <v>4486.2</v>
      </c>
      <c r="E14" s="21">
        <v>4544.1000000000004</v>
      </c>
      <c r="F14" s="21">
        <v>4728.8999999999996</v>
      </c>
      <c r="G14" s="21">
        <v>5093.7</v>
      </c>
      <c r="H14" s="21">
        <v>5473.2</v>
      </c>
      <c r="I14" s="21">
        <v>5652</v>
      </c>
      <c r="J14" s="21">
        <v>5859</v>
      </c>
      <c r="K14" s="21">
        <v>6071.7</v>
      </c>
      <c r="L14" s="21">
        <v>6455.1</v>
      </c>
      <c r="M14" s="21">
        <v>6713.7</v>
      </c>
      <c r="N14" s="21">
        <v>6868.2</v>
      </c>
      <c r="O14" s="21">
        <v>7032.6</v>
      </c>
      <c r="P14" s="21">
        <v>7256.7</v>
      </c>
      <c r="Q14" s="21">
        <v>7256.7</v>
      </c>
      <c r="R14" s="21">
        <v>7256.7</v>
      </c>
      <c r="S14" s="21">
        <v>7256.7</v>
      </c>
      <c r="T14" s="21">
        <v>7256.7</v>
      </c>
      <c r="U14" s="21">
        <v>7256.7</v>
      </c>
      <c r="V14" s="21">
        <v>7256.7</v>
      </c>
      <c r="W14" s="21">
        <v>7256.7</v>
      </c>
    </row>
    <row r="15" spans="1:23" ht="15.75" thickBot="1" x14ac:dyDescent="0.3">
      <c r="A15" s="13" t="s">
        <v>38</v>
      </c>
      <c r="B15" s="64">
        <v>3660.6</v>
      </c>
      <c r="C15" s="21">
        <v>4006.8</v>
      </c>
      <c r="D15" s="21">
        <v>4113.3</v>
      </c>
      <c r="E15" s="21">
        <v>4186.5</v>
      </c>
      <c r="F15" s="21">
        <v>4423.8</v>
      </c>
      <c r="G15" s="21">
        <v>4792.8</v>
      </c>
      <c r="H15" s="21">
        <v>4975.8</v>
      </c>
      <c r="I15" s="21">
        <v>5155.5</v>
      </c>
      <c r="J15" s="21">
        <v>5375.7</v>
      </c>
      <c r="K15" s="21">
        <v>5547.9</v>
      </c>
      <c r="L15" s="21">
        <v>5703.6</v>
      </c>
      <c r="M15" s="21">
        <v>5890.2</v>
      </c>
      <c r="N15" s="21">
        <v>6012.9</v>
      </c>
      <c r="O15" s="21">
        <v>6109.8</v>
      </c>
      <c r="P15" s="21">
        <v>6109.8</v>
      </c>
      <c r="Q15" s="21">
        <v>6109.8</v>
      </c>
      <c r="R15" s="21">
        <v>6109.8</v>
      </c>
      <c r="S15" s="21">
        <v>6109.8</v>
      </c>
      <c r="T15" s="21">
        <v>6109.8</v>
      </c>
      <c r="U15" s="21">
        <v>6109.8</v>
      </c>
      <c r="V15" s="21">
        <v>6109.8</v>
      </c>
      <c r="W15" s="21">
        <v>6109.8</v>
      </c>
    </row>
    <row r="16" spans="1:23" ht="15.75" thickBot="1" x14ac:dyDescent="0.3">
      <c r="A16" s="13" t="s">
        <v>39</v>
      </c>
      <c r="B16" s="64">
        <v>3213</v>
      </c>
      <c r="C16" s="21">
        <v>3559.2</v>
      </c>
      <c r="D16" s="21">
        <v>3651.9</v>
      </c>
      <c r="E16" s="21">
        <v>3848.4</v>
      </c>
      <c r="F16" s="21">
        <v>4080.6</v>
      </c>
      <c r="G16" s="21">
        <v>4423.2</v>
      </c>
      <c r="H16" s="21">
        <v>4582.8</v>
      </c>
      <c r="I16" s="21">
        <v>4806.6000000000004</v>
      </c>
      <c r="J16" s="21">
        <v>5026.5</v>
      </c>
      <c r="K16" s="21">
        <v>5199.6000000000004</v>
      </c>
      <c r="L16" s="21">
        <v>5358.6</v>
      </c>
      <c r="M16" s="21">
        <v>5552.1</v>
      </c>
      <c r="N16" s="21">
        <v>5552.1</v>
      </c>
      <c r="O16" s="21">
        <v>5552.1</v>
      </c>
      <c r="P16" s="21">
        <v>5552.1</v>
      </c>
      <c r="Q16" s="21">
        <v>5552.1</v>
      </c>
      <c r="R16" s="21">
        <v>5552.1</v>
      </c>
      <c r="S16" s="21">
        <v>5552.1</v>
      </c>
      <c r="T16" s="21">
        <v>5552.1</v>
      </c>
      <c r="U16" s="21">
        <v>5552.1</v>
      </c>
      <c r="V16" s="21">
        <v>5552.1</v>
      </c>
      <c r="W16" s="21">
        <v>5552.1</v>
      </c>
    </row>
    <row r="17" spans="1:23" ht="15.75" thickBot="1" x14ac:dyDescent="0.3">
      <c r="A17" s="13" t="s">
        <v>40</v>
      </c>
      <c r="B17" s="21">
        <v>5308.2</v>
      </c>
      <c r="C17" s="21">
        <v>5308.2</v>
      </c>
      <c r="D17" s="21">
        <v>5308.2</v>
      </c>
      <c r="E17" s="21">
        <v>5308.2</v>
      </c>
      <c r="F17" s="21">
        <v>5308.2</v>
      </c>
      <c r="G17" s="21">
        <v>5308.2</v>
      </c>
      <c r="H17" s="21">
        <v>5308.2</v>
      </c>
      <c r="I17" s="21">
        <v>5428.5</v>
      </c>
      <c r="J17" s="21">
        <v>5580.3</v>
      </c>
      <c r="K17" s="21">
        <v>5758.2</v>
      </c>
      <c r="L17" s="21">
        <v>5938.8</v>
      </c>
      <c r="M17" s="21">
        <v>6226.5</v>
      </c>
      <c r="N17" s="21">
        <v>6470.7</v>
      </c>
      <c r="O17" s="21">
        <v>6726.6</v>
      </c>
      <c r="P17" s="21">
        <v>7119.3</v>
      </c>
      <c r="Q17" s="21">
        <v>7119.3</v>
      </c>
      <c r="R17" s="21">
        <v>7474.8</v>
      </c>
      <c r="S17" s="21">
        <v>7474.8</v>
      </c>
      <c r="T17" s="21">
        <v>7848.9</v>
      </c>
      <c r="U17" s="21">
        <v>7848.9</v>
      </c>
      <c r="V17" s="21">
        <v>8241.9</v>
      </c>
      <c r="W17" s="21">
        <v>8241.9</v>
      </c>
    </row>
    <row r="18" spans="1:23" ht="15.75" thickBot="1" x14ac:dyDescent="0.3">
      <c r="A18" s="13" t="s">
        <v>41</v>
      </c>
      <c r="B18" s="21">
        <v>4345.5</v>
      </c>
      <c r="C18" s="21">
        <v>4345.5</v>
      </c>
      <c r="D18" s="21">
        <v>4345.5</v>
      </c>
      <c r="E18" s="21">
        <v>4345.5</v>
      </c>
      <c r="F18" s="21">
        <v>4345.5</v>
      </c>
      <c r="G18" s="21">
        <v>4345.5</v>
      </c>
      <c r="H18" s="21">
        <v>4537.5</v>
      </c>
      <c r="I18" s="21">
        <v>4656.6000000000004</v>
      </c>
      <c r="J18" s="21">
        <v>4798.8</v>
      </c>
      <c r="K18" s="21">
        <v>4953.6000000000004</v>
      </c>
      <c r="L18" s="21">
        <v>5232.3</v>
      </c>
      <c r="M18" s="21">
        <v>5373.6</v>
      </c>
      <c r="N18" s="21">
        <v>5613.9</v>
      </c>
      <c r="O18" s="21">
        <v>5747.4</v>
      </c>
      <c r="P18" s="21">
        <v>6075.6</v>
      </c>
      <c r="Q18" s="21">
        <v>6075.6</v>
      </c>
      <c r="R18" s="21">
        <v>6197.7</v>
      </c>
      <c r="S18" s="21">
        <v>6197.7</v>
      </c>
      <c r="T18" s="21">
        <v>6197.7</v>
      </c>
      <c r="U18" s="21">
        <v>6197.7</v>
      </c>
      <c r="V18" s="21">
        <v>6197.7</v>
      </c>
      <c r="W18" s="21">
        <v>6197.7</v>
      </c>
    </row>
    <row r="19" spans="1:23" ht="15.75" thickBot="1" x14ac:dyDescent="0.3">
      <c r="A19" s="13" t="s">
        <v>42</v>
      </c>
      <c r="B19" s="21">
        <v>3020.7</v>
      </c>
      <c r="C19" s="21">
        <v>3296.7</v>
      </c>
      <c r="D19" s="21">
        <v>3423.3</v>
      </c>
      <c r="E19" s="21">
        <v>3590.1</v>
      </c>
      <c r="F19" s="21">
        <v>3720.9</v>
      </c>
      <c r="G19" s="21">
        <v>3945</v>
      </c>
      <c r="H19" s="21">
        <v>4071.6</v>
      </c>
      <c r="I19" s="21">
        <v>4295.7</v>
      </c>
      <c r="J19" s="21">
        <v>4482.6000000000004</v>
      </c>
      <c r="K19" s="21">
        <v>4609.8</v>
      </c>
      <c r="L19" s="21">
        <v>4745.3999999999996</v>
      </c>
      <c r="M19" s="21">
        <v>4797.6000000000004</v>
      </c>
      <c r="N19" s="21">
        <v>4974.3</v>
      </c>
      <c r="O19" s="21">
        <v>5068.8</v>
      </c>
      <c r="P19" s="21">
        <v>5429.1</v>
      </c>
      <c r="Q19" s="21">
        <v>5429.1</v>
      </c>
      <c r="R19" s="21">
        <v>5429.1</v>
      </c>
      <c r="S19" s="21">
        <v>5429.1</v>
      </c>
      <c r="T19" s="21">
        <v>5429.1</v>
      </c>
      <c r="U19" s="21">
        <v>5429.1</v>
      </c>
      <c r="V19" s="21">
        <v>5429.1</v>
      </c>
      <c r="W19" s="21">
        <v>5429.1</v>
      </c>
    </row>
    <row r="20" spans="1:23" ht="15.75" thickBot="1" x14ac:dyDescent="0.3">
      <c r="A20" s="13" t="s">
        <v>43</v>
      </c>
      <c r="B20" s="21">
        <v>2612.6999999999998</v>
      </c>
      <c r="C20" s="21">
        <v>2875.2</v>
      </c>
      <c r="D20" s="21">
        <v>3002.1</v>
      </c>
      <c r="E20" s="21">
        <v>3125.4</v>
      </c>
      <c r="F20" s="21">
        <v>3254.1</v>
      </c>
      <c r="G20" s="21">
        <v>3543.3</v>
      </c>
      <c r="H20" s="21">
        <v>3656.4</v>
      </c>
      <c r="I20" s="21">
        <v>3874.8</v>
      </c>
      <c r="J20" s="21">
        <v>3941.4</v>
      </c>
      <c r="K20" s="21">
        <v>3990</v>
      </c>
      <c r="L20" s="21">
        <v>4046.7</v>
      </c>
      <c r="M20" s="21">
        <v>4046.7</v>
      </c>
      <c r="N20" s="21">
        <v>4046.7</v>
      </c>
      <c r="O20" s="21">
        <v>4046.7</v>
      </c>
      <c r="P20" s="21">
        <v>4046.7</v>
      </c>
      <c r="Q20" s="21">
        <v>4046.7</v>
      </c>
      <c r="R20" s="21">
        <v>4046.7</v>
      </c>
      <c r="S20" s="21">
        <v>4046.7</v>
      </c>
      <c r="T20" s="21">
        <v>4046.7</v>
      </c>
      <c r="U20" s="21">
        <v>4046.7</v>
      </c>
      <c r="V20" s="21">
        <v>4046.7</v>
      </c>
      <c r="W20" s="21">
        <v>4046.7</v>
      </c>
    </row>
    <row r="21" spans="1:23" ht="15.75" thickBot="1" x14ac:dyDescent="0.3">
      <c r="A21" s="13" t="s">
        <v>44</v>
      </c>
      <c r="B21" s="21">
        <v>2393.4</v>
      </c>
      <c r="C21" s="21">
        <v>2554.8000000000002</v>
      </c>
      <c r="D21" s="21">
        <v>2678.1</v>
      </c>
      <c r="E21" s="21">
        <v>2804.4</v>
      </c>
      <c r="F21" s="21">
        <v>3001.5</v>
      </c>
      <c r="G21" s="21">
        <v>3207</v>
      </c>
      <c r="H21" s="21">
        <v>3376.2</v>
      </c>
      <c r="I21" s="21">
        <v>3396.6</v>
      </c>
      <c r="J21" s="21">
        <v>3396.6</v>
      </c>
      <c r="K21" s="21">
        <v>3396.6</v>
      </c>
      <c r="L21" s="21">
        <v>3396.6</v>
      </c>
      <c r="M21" s="21">
        <v>3396.6</v>
      </c>
      <c r="N21" s="21">
        <v>3396.6</v>
      </c>
      <c r="O21" s="21">
        <v>3396.6</v>
      </c>
      <c r="P21" s="21">
        <v>3396.6</v>
      </c>
      <c r="Q21" s="21">
        <v>3396.6</v>
      </c>
      <c r="R21" s="21">
        <v>3396.6</v>
      </c>
      <c r="S21" s="21">
        <v>3396.6</v>
      </c>
      <c r="T21" s="21">
        <v>3396.6</v>
      </c>
      <c r="U21" s="21">
        <v>3396.6</v>
      </c>
      <c r="V21" s="21">
        <v>3396.6</v>
      </c>
      <c r="W21" s="21">
        <v>3396.6</v>
      </c>
    </row>
    <row r="22" spans="1:23" ht="15.75" thickBot="1" x14ac:dyDescent="0.3">
      <c r="A22" s="13" t="s">
        <v>45</v>
      </c>
      <c r="B22" s="21">
        <v>2194.5</v>
      </c>
      <c r="C22" s="21">
        <v>2307</v>
      </c>
      <c r="D22" s="21">
        <v>2431.8000000000002</v>
      </c>
      <c r="E22" s="21">
        <v>2555.4</v>
      </c>
      <c r="F22" s="21">
        <v>2664</v>
      </c>
      <c r="G22" s="21">
        <v>2664</v>
      </c>
      <c r="H22" s="21">
        <v>2664</v>
      </c>
      <c r="I22" s="21">
        <v>2664</v>
      </c>
      <c r="J22" s="21">
        <v>2664</v>
      </c>
      <c r="K22" s="21">
        <v>2664</v>
      </c>
      <c r="L22" s="21">
        <v>2664</v>
      </c>
      <c r="M22" s="21">
        <v>2664</v>
      </c>
      <c r="N22" s="21">
        <v>2664</v>
      </c>
      <c r="O22" s="21">
        <v>2664</v>
      </c>
      <c r="P22" s="21">
        <v>2664</v>
      </c>
      <c r="Q22" s="21">
        <v>2664</v>
      </c>
      <c r="R22" s="21">
        <v>2664</v>
      </c>
      <c r="S22" s="21">
        <v>2664</v>
      </c>
      <c r="T22" s="21">
        <v>2664</v>
      </c>
      <c r="U22" s="21">
        <v>2664</v>
      </c>
      <c r="V22" s="21">
        <v>2664</v>
      </c>
      <c r="W22" s="21">
        <v>2664</v>
      </c>
    </row>
    <row r="23" spans="1:23" ht="15.75" thickBot="1" x14ac:dyDescent="0.3">
      <c r="A23" s="13" t="s">
        <v>46</v>
      </c>
      <c r="B23" s="21">
        <v>1981.2</v>
      </c>
      <c r="C23" s="21">
        <v>2105.6999999999998</v>
      </c>
      <c r="D23" s="21">
        <v>2233.5</v>
      </c>
      <c r="E23" s="21">
        <v>2233.5</v>
      </c>
      <c r="F23" s="21">
        <v>2233.5</v>
      </c>
      <c r="G23" s="21">
        <v>2233.5</v>
      </c>
      <c r="H23" s="21">
        <v>2233.5</v>
      </c>
      <c r="I23" s="21">
        <v>2233.5</v>
      </c>
      <c r="J23" s="21">
        <v>2233.5</v>
      </c>
      <c r="K23" s="21">
        <v>2233.5</v>
      </c>
      <c r="L23" s="21">
        <v>2233.5</v>
      </c>
      <c r="M23" s="21">
        <v>2233.5</v>
      </c>
      <c r="N23" s="21">
        <v>2233.5</v>
      </c>
      <c r="O23" s="21">
        <v>2233.5</v>
      </c>
      <c r="P23" s="21">
        <v>2233.5</v>
      </c>
      <c r="Q23" s="21">
        <v>2233.5</v>
      </c>
      <c r="R23" s="21">
        <v>2233.5</v>
      </c>
      <c r="S23" s="21">
        <v>2233.5</v>
      </c>
      <c r="T23" s="21">
        <v>2233.5</v>
      </c>
      <c r="U23" s="21">
        <v>2233.5</v>
      </c>
      <c r="V23" s="21">
        <v>2233.5</v>
      </c>
      <c r="W23" s="21">
        <v>2233.5</v>
      </c>
    </row>
    <row r="24" spans="1:23" ht="15.75" thickBot="1" x14ac:dyDescent="0.3">
      <c r="A24" s="13" t="s">
        <v>47</v>
      </c>
      <c r="B24" s="21">
        <v>1884</v>
      </c>
      <c r="C24" s="21">
        <v>1884</v>
      </c>
      <c r="D24" s="21">
        <v>1884</v>
      </c>
      <c r="E24" s="21">
        <v>1884</v>
      </c>
      <c r="F24" s="21">
        <v>1884</v>
      </c>
      <c r="G24" s="21">
        <v>1884</v>
      </c>
      <c r="H24" s="21">
        <v>1884</v>
      </c>
      <c r="I24" s="21">
        <v>1884</v>
      </c>
      <c r="J24" s="21">
        <v>1884</v>
      </c>
      <c r="K24" s="21">
        <v>1884</v>
      </c>
      <c r="L24" s="21">
        <v>1884</v>
      </c>
      <c r="M24" s="21">
        <v>1884</v>
      </c>
      <c r="N24" s="21">
        <v>1884</v>
      </c>
      <c r="O24" s="21">
        <v>1884</v>
      </c>
      <c r="P24" s="21">
        <v>1884</v>
      </c>
      <c r="Q24" s="21">
        <v>1884</v>
      </c>
      <c r="R24" s="21">
        <v>1884</v>
      </c>
      <c r="S24" s="21">
        <v>1884</v>
      </c>
      <c r="T24" s="21">
        <v>1884</v>
      </c>
      <c r="U24" s="21">
        <v>1884</v>
      </c>
      <c r="V24" s="21">
        <v>1884</v>
      </c>
      <c r="W24" s="21">
        <v>1884</v>
      </c>
    </row>
    <row r="25" spans="1:23" ht="15.75" thickBot="1" x14ac:dyDescent="0.3">
      <c r="A25" s="13" t="s">
        <v>56</v>
      </c>
      <c r="B25" s="21">
        <v>1680.9</v>
      </c>
      <c r="C25" s="21">
        <v>1680.9</v>
      </c>
      <c r="D25" s="21">
        <v>1680.9</v>
      </c>
      <c r="E25" s="21">
        <v>1680.9</v>
      </c>
      <c r="F25" s="21">
        <v>1680.9</v>
      </c>
      <c r="G25" s="21">
        <v>1680.9</v>
      </c>
      <c r="H25" s="21">
        <v>1680.9</v>
      </c>
      <c r="I25" s="21">
        <v>1680.9</v>
      </c>
      <c r="J25" s="21">
        <v>1680.9</v>
      </c>
      <c r="K25" s="21">
        <v>1680.9</v>
      </c>
      <c r="L25" s="21">
        <v>1680.9</v>
      </c>
      <c r="M25" s="21">
        <v>1680.9</v>
      </c>
      <c r="N25" s="21">
        <v>1680.9</v>
      </c>
      <c r="O25" s="21">
        <v>1680.9</v>
      </c>
      <c r="P25" s="21">
        <v>1680.9</v>
      </c>
      <c r="Q25" s="21">
        <v>1680.9</v>
      </c>
      <c r="R25" s="21">
        <v>1680.9</v>
      </c>
      <c r="S25" s="21">
        <v>1680.9</v>
      </c>
      <c r="T25" s="21">
        <v>1680.9</v>
      </c>
      <c r="U25" s="21">
        <v>1680.9</v>
      </c>
      <c r="V25" s="21">
        <v>1680.9</v>
      </c>
      <c r="W25" s="21">
        <v>1680.9</v>
      </c>
    </row>
  </sheetData>
  <sheetProtection sheet="1" objects="1" scenarios="1"/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6ADAB-6DE0-4E6F-82C3-14EBA496EF40}">
  <sheetPr codeName="Sheet5">
    <tabColor rgb="FF0070C0"/>
  </sheetPr>
  <dimension ref="A1:W25"/>
  <sheetViews>
    <sheetView workbookViewId="0">
      <selection activeCell="A2" sqref="A2:A25"/>
    </sheetView>
  </sheetViews>
  <sheetFormatPr defaultColWidth="9.140625" defaultRowHeight="15" x14ac:dyDescent="0.25"/>
  <cols>
    <col min="1" max="1" width="18.28515625" bestFit="1" customWidth="1"/>
  </cols>
  <sheetData>
    <row r="1" spans="1:23" x14ac:dyDescent="0.25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x14ac:dyDescent="0.25">
      <c r="A2" s="11" t="s">
        <v>48</v>
      </c>
      <c r="B2" s="12">
        <v>16025.1</v>
      </c>
      <c r="C2" s="12">
        <v>16025.1</v>
      </c>
      <c r="D2" s="12">
        <v>16025.1</v>
      </c>
      <c r="E2" s="12">
        <v>16025.1</v>
      </c>
      <c r="F2" s="12">
        <v>16025.1</v>
      </c>
      <c r="G2" s="12">
        <v>16025.1</v>
      </c>
      <c r="H2" s="12">
        <v>16025.1</v>
      </c>
      <c r="I2" s="12">
        <v>16025.1</v>
      </c>
      <c r="J2" s="12">
        <v>16025.1</v>
      </c>
      <c r="K2" s="12">
        <v>16025.1</v>
      </c>
      <c r="L2" s="12">
        <v>16025.1</v>
      </c>
      <c r="M2" s="12">
        <v>16025.1</v>
      </c>
      <c r="N2" s="12">
        <v>16025.1</v>
      </c>
      <c r="O2" s="12">
        <v>16025.1</v>
      </c>
      <c r="P2" s="12">
        <v>16025.1</v>
      </c>
      <c r="Q2" s="12">
        <v>16025.1</v>
      </c>
      <c r="R2" s="12">
        <v>16025.1</v>
      </c>
      <c r="S2" s="12">
        <v>16025.1</v>
      </c>
      <c r="T2" s="12">
        <v>16025.1</v>
      </c>
      <c r="U2" s="12">
        <v>16025.1</v>
      </c>
      <c r="V2" s="12">
        <v>16025.1</v>
      </c>
      <c r="W2" s="12">
        <v>16025.1</v>
      </c>
    </row>
    <row r="3" spans="1:23" x14ac:dyDescent="0.25">
      <c r="A3" s="11" t="s">
        <v>49</v>
      </c>
      <c r="B3" s="12">
        <v>15078.6</v>
      </c>
      <c r="C3" s="12">
        <v>15078.6</v>
      </c>
      <c r="D3" s="12">
        <v>15078.6</v>
      </c>
      <c r="E3" s="12">
        <v>15078.6</v>
      </c>
      <c r="F3" s="12">
        <v>15078.6</v>
      </c>
      <c r="G3" s="12">
        <v>15078.6</v>
      </c>
      <c r="H3" s="12">
        <v>15078.6</v>
      </c>
      <c r="I3" s="12">
        <v>15078.6</v>
      </c>
      <c r="J3" s="12">
        <v>15078.6</v>
      </c>
      <c r="K3" s="12">
        <v>15078.6</v>
      </c>
      <c r="L3" s="12">
        <v>15078.6</v>
      </c>
      <c r="M3" s="12">
        <v>15078.6</v>
      </c>
      <c r="N3" s="12">
        <v>15296.4</v>
      </c>
      <c r="O3" s="12">
        <v>15610.2</v>
      </c>
      <c r="P3" s="12">
        <v>16025.1</v>
      </c>
      <c r="Q3" s="12">
        <v>16025.1</v>
      </c>
      <c r="R3" s="12">
        <v>16025.1</v>
      </c>
      <c r="S3" s="12">
        <v>16025.1</v>
      </c>
      <c r="T3" s="12">
        <v>16025.1</v>
      </c>
      <c r="U3" s="12">
        <v>16025.1</v>
      </c>
      <c r="V3" s="12">
        <v>16025.1</v>
      </c>
      <c r="W3" s="12">
        <v>16025.1</v>
      </c>
    </row>
    <row r="4" spans="1:23" x14ac:dyDescent="0.25">
      <c r="A4" s="11" t="s">
        <v>50</v>
      </c>
      <c r="B4" s="12">
        <v>10668.9</v>
      </c>
      <c r="C4" s="12">
        <v>11018.7</v>
      </c>
      <c r="D4" s="12">
        <v>11250.6</v>
      </c>
      <c r="E4" s="12">
        <v>11315.4</v>
      </c>
      <c r="F4" s="12">
        <v>11604.9</v>
      </c>
      <c r="G4" s="12">
        <v>12088.2</v>
      </c>
      <c r="H4" s="12">
        <v>12200.7</v>
      </c>
      <c r="I4" s="12">
        <v>12659.7</v>
      </c>
      <c r="J4" s="12">
        <v>12791.7</v>
      </c>
      <c r="K4" s="12">
        <v>13187.1</v>
      </c>
      <c r="L4" s="12">
        <v>13759.5</v>
      </c>
      <c r="M4" s="12">
        <v>14287.2</v>
      </c>
      <c r="N4" s="12">
        <v>14639.4</v>
      </c>
      <c r="O4" s="12">
        <v>14639.4</v>
      </c>
      <c r="P4" s="12">
        <v>14639.4</v>
      </c>
      <c r="Q4" s="12">
        <v>14639.4</v>
      </c>
      <c r="R4" s="12">
        <v>15006</v>
      </c>
      <c r="S4" s="12">
        <v>15006</v>
      </c>
      <c r="T4" s="12">
        <v>15380.7</v>
      </c>
      <c r="U4" s="12">
        <v>15380.7</v>
      </c>
      <c r="V4" s="12">
        <v>15380.7</v>
      </c>
      <c r="W4" s="12">
        <v>15380.7</v>
      </c>
    </row>
    <row r="5" spans="1:23" x14ac:dyDescent="0.25">
      <c r="A5" s="11" t="s">
        <v>51</v>
      </c>
      <c r="B5" s="12">
        <v>8865.2999999999993</v>
      </c>
      <c r="C5" s="12">
        <v>9276.9</v>
      </c>
      <c r="D5" s="12">
        <v>9467.7000000000007</v>
      </c>
      <c r="E5" s="12">
        <v>9619.2000000000007</v>
      </c>
      <c r="F5" s="12">
        <v>9893.4</v>
      </c>
      <c r="G5" s="12">
        <v>10164.6</v>
      </c>
      <c r="H5" s="12">
        <v>10477.799999999999</v>
      </c>
      <c r="I5" s="12">
        <v>10790.1</v>
      </c>
      <c r="J5" s="12">
        <v>11103.6</v>
      </c>
      <c r="K5" s="12">
        <v>12088.2</v>
      </c>
      <c r="L5" s="12">
        <v>12919.2</v>
      </c>
      <c r="M5" s="12">
        <v>12919.2</v>
      </c>
      <c r="N5" s="12">
        <v>12919.2</v>
      </c>
      <c r="O5" s="12">
        <v>12919.2</v>
      </c>
      <c r="P5" s="12">
        <v>12985.5</v>
      </c>
      <c r="Q5" s="12">
        <v>12985.5</v>
      </c>
      <c r="R5" s="12">
        <v>13245.3</v>
      </c>
      <c r="S5" s="12">
        <v>13245.3</v>
      </c>
      <c r="T5" s="12">
        <v>13245.3</v>
      </c>
      <c r="U5" s="12">
        <v>13245.3</v>
      </c>
      <c r="V5" s="12">
        <v>13245.3</v>
      </c>
      <c r="W5" s="12">
        <v>13245.3</v>
      </c>
    </row>
    <row r="6" spans="1:23" x14ac:dyDescent="0.25">
      <c r="A6" s="11" t="s">
        <v>52</v>
      </c>
      <c r="B6" s="12">
        <v>6722.7</v>
      </c>
      <c r="C6" s="12">
        <v>7385.7</v>
      </c>
      <c r="D6" s="12">
        <v>7870.5</v>
      </c>
      <c r="E6" s="12">
        <v>7870.5</v>
      </c>
      <c r="F6" s="12">
        <v>7900.5</v>
      </c>
      <c r="G6" s="12">
        <v>8239.2000000000007</v>
      </c>
      <c r="H6" s="12">
        <v>8283.9</v>
      </c>
      <c r="I6" s="12">
        <v>8283.9</v>
      </c>
      <c r="J6" s="12">
        <v>8754.2999999999993</v>
      </c>
      <c r="K6" s="12">
        <v>9586.7999999999993</v>
      </c>
      <c r="L6" s="12">
        <v>10075.200000000001</v>
      </c>
      <c r="M6" s="12">
        <v>10563.3</v>
      </c>
      <c r="N6" s="12">
        <v>10841.4</v>
      </c>
      <c r="O6" s="12">
        <v>11123.1</v>
      </c>
      <c r="P6" s="12">
        <v>11668.2</v>
      </c>
      <c r="Q6" s="12">
        <v>11668.2</v>
      </c>
      <c r="R6" s="12">
        <v>11901.3</v>
      </c>
      <c r="S6" s="12">
        <v>11901.3</v>
      </c>
      <c r="T6" s="12">
        <v>11901.3</v>
      </c>
      <c r="U6" s="12">
        <v>11901.3</v>
      </c>
      <c r="V6" s="12">
        <v>11901.3</v>
      </c>
      <c r="W6" s="12">
        <v>11901.3</v>
      </c>
    </row>
    <row r="7" spans="1:23" x14ac:dyDescent="0.25">
      <c r="A7" s="11" t="s">
        <v>33</v>
      </c>
      <c r="B7" s="12">
        <v>5604.3</v>
      </c>
      <c r="C7" s="12">
        <v>6313.5</v>
      </c>
      <c r="D7" s="12">
        <v>6750</v>
      </c>
      <c r="E7" s="12">
        <v>6832.5</v>
      </c>
      <c r="F7" s="12">
        <v>7105.5</v>
      </c>
      <c r="G7" s="12">
        <v>7268.4</v>
      </c>
      <c r="H7" s="12">
        <v>7627.2</v>
      </c>
      <c r="I7" s="12">
        <v>7890.9</v>
      </c>
      <c r="J7" s="12">
        <v>8230.7999999999993</v>
      </c>
      <c r="K7" s="12">
        <v>8751.2999999999993</v>
      </c>
      <c r="L7" s="12">
        <v>8998.5</v>
      </c>
      <c r="M7" s="12">
        <v>9243.6</v>
      </c>
      <c r="N7" s="12">
        <v>9521.4</v>
      </c>
      <c r="O7" s="12">
        <v>9521.4</v>
      </c>
      <c r="P7" s="12">
        <v>9521.4</v>
      </c>
      <c r="Q7" s="12">
        <v>9521.4</v>
      </c>
      <c r="R7" s="12">
        <v>9521.4</v>
      </c>
      <c r="S7" s="12">
        <v>9521.4</v>
      </c>
      <c r="T7" s="12">
        <v>9521.4</v>
      </c>
      <c r="U7" s="12">
        <v>9521.4</v>
      </c>
      <c r="V7" s="12">
        <v>9521.4</v>
      </c>
      <c r="W7" s="12">
        <v>9521.4</v>
      </c>
    </row>
    <row r="8" spans="1:23" x14ac:dyDescent="0.25">
      <c r="A8" s="11" t="s">
        <v>34</v>
      </c>
      <c r="B8" s="12">
        <v>4835.3999999999996</v>
      </c>
      <c r="C8" s="12">
        <v>5597.4</v>
      </c>
      <c r="D8" s="12">
        <v>5971.2</v>
      </c>
      <c r="E8" s="12">
        <v>6054</v>
      </c>
      <c r="F8" s="12">
        <v>6400.8</v>
      </c>
      <c r="G8" s="12">
        <v>6772.8</v>
      </c>
      <c r="H8" s="12">
        <v>7236</v>
      </c>
      <c r="I8" s="12">
        <v>7596.3</v>
      </c>
      <c r="J8" s="12">
        <v>7846.5</v>
      </c>
      <c r="K8" s="12">
        <v>7990.5</v>
      </c>
      <c r="L8" s="12">
        <v>8073.9</v>
      </c>
      <c r="M8" s="12">
        <v>8073.9</v>
      </c>
      <c r="N8" s="12">
        <v>8073.9</v>
      </c>
      <c r="O8" s="12">
        <v>8073.9</v>
      </c>
      <c r="P8" s="12">
        <v>8073.9</v>
      </c>
      <c r="Q8" s="12">
        <v>8073.9</v>
      </c>
      <c r="R8" s="12">
        <v>8073.9</v>
      </c>
      <c r="S8" s="12">
        <v>8073.9</v>
      </c>
      <c r="T8" s="12">
        <v>8073.9</v>
      </c>
      <c r="U8" s="12">
        <v>8073.9</v>
      </c>
      <c r="V8" s="12">
        <v>8073.9</v>
      </c>
      <c r="W8" s="12">
        <v>8073.9</v>
      </c>
    </row>
    <row r="9" spans="1:23" x14ac:dyDescent="0.25">
      <c r="A9" s="11" t="s">
        <v>53</v>
      </c>
      <c r="B9" s="12">
        <v>4251.6000000000004</v>
      </c>
      <c r="C9" s="12">
        <v>4819.2</v>
      </c>
      <c r="D9" s="12">
        <v>5201.3999999999996</v>
      </c>
      <c r="E9" s="12">
        <v>5671.5</v>
      </c>
      <c r="F9" s="12">
        <v>5943.6</v>
      </c>
      <c r="G9" s="12">
        <v>6241.5</v>
      </c>
      <c r="H9" s="12">
        <v>6434.4</v>
      </c>
      <c r="I9" s="12">
        <v>6751.2</v>
      </c>
      <c r="J9" s="12">
        <v>6916.8</v>
      </c>
      <c r="K9" s="12">
        <v>6916.8</v>
      </c>
      <c r="L9" s="12">
        <v>6916.8</v>
      </c>
      <c r="M9" s="12">
        <v>6916.8</v>
      </c>
      <c r="N9" s="12">
        <v>6916.8</v>
      </c>
      <c r="O9" s="12">
        <v>6916.8</v>
      </c>
      <c r="P9" s="12">
        <v>6916.8</v>
      </c>
      <c r="Q9" s="12">
        <v>6916.8</v>
      </c>
      <c r="R9" s="12">
        <v>6916.8</v>
      </c>
      <c r="S9" s="12">
        <v>6916.8</v>
      </c>
      <c r="T9" s="12">
        <v>6916.8</v>
      </c>
      <c r="U9" s="12">
        <v>6916.8</v>
      </c>
      <c r="V9" s="12">
        <v>6916.8</v>
      </c>
      <c r="W9" s="12">
        <v>6916.8</v>
      </c>
    </row>
    <row r="10" spans="1:23" x14ac:dyDescent="0.25">
      <c r="A10" s="11" t="s">
        <v>54</v>
      </c>
      <c r="B10" s="12">
        <v>3673.5</v>
      </c>
      <c r="C10" s="12">
        <v>4183.8</v>
      </c>
      <c r="D10" s="12">
        <v>4818.3</v>
      </c>
      <c r="E10" s="12">
        <v>4981.2</v>
      </c>
      <c r="F10" s="12">
        <v>5083.8</v>
      </c>
      <c r="G10" s="12">
        <v>5083.8</v>
      </c>
      <c r="H10" s="12">
        <v>5083.8</v>
      </c>
      <c r="I10" s="12">
        <v>5083.8</v>
      </c>
      <c r="J10" s="12">
        <v>5083.8</v>
      </c>
      <c r="K10" s="12">
        <v>5083.8</v>
      </c>
      <c r="L10" s="12">
        <v>5083.8</v>
      </c>
      <c r="M10" s="12">
        <v>5083.8</v>
      </c>
      <c r="N10" s="12">
        <v>5083.8</v>
      </c>
      <c r="O10" s="12">
        <v>5083.8</v>
      </c>
      <c r="P10" s="12">
        <v>5083.8</v>
      </c>
      <c r="Q10" s="12">
        <v>5083.8</v>
      </c>
      <c r="R10" s="12">
        <v>5083.8</v>
      </c>
      <c r="S10" s="12">
        <v>5083.8</v>
      </c>
      <c r="T10" s="12">
        <v>5083.8</v>
      </c>
      <c r="U10" s="12">
        <v>5083.8</v>
      </c>
      <c r="V10" s="12">
        <v>5083.8</v>
      </c>
      <c r="W10" s="12">
        <v>5083.8</v>
      </c>
    </row>
    <row r="11" spans="1:23" x14ac:dyDescent="0.25">
      <c r="A11" s="11" t="s">
        <v>55</v>
      </c>
      <c r="B11" s="12">
        <v>3188.4</v>
      </c>
      <c r="C11" s="12">
        <v>3318.9</v>
      </c>
      <c r="D11" s="12">
        <v>4011.9</v>
      </c>
      <c r="E11" s="12">
        <v>4011.9</v>
      </c>
      <c r="F11" s="12">
        <v>4011.9</v>
      </c>
      <c r="G11" s="12">
        <v>4011.9</v>
      </c>
      <c r="H11" s="12">
        <v>4011.9</v>
      </c>
      <c r="I11" s="12">
        <v>4011.9</v>
      </c>
      <c r="J11" s="12">
        <v>4011.9</v>
      </c>
      <c r="K11" s="12">
        <v>4011.9</v>
      </c>
      <c r="L11" s="12">
        <v>4011.9</v>
      </c>
      <c r="M11" s="12">
        <v>4011.9</v>
      </c>
      <c r="N11" s="12">
        <v>4011.9</v>
      </c>
      <c r="O11" s="12">
        <v>4011.9</v>
      </c>
      <c r="P11" s="12">
        <v>4011.9</v>
      </c>
      <c r="Q11" s="12">
        <v>4011.9</v>
      </c>
      <c r="R11" s="12">
        <v>4011.9</v>
      </c>
      <c r="S11" s="12">
        <v>4011.9</v>
      </c>
      <c r="T11" s="12">
        <v>4011.9</v>
      </c>
      <c r="U11" s="12">
        <v>4011.9</v>
      </c>
      <c r="V11" s="12">
        <v>4011.9</v>
      </c>
      <c r="W11" s="12">
        <v>4011.9</v>
      </c>
    </row>
    <row r="12" spans="1:23" x14ac:dyDescent="0.25">
      <c r="A12" s="13" t="s">
        <v>35</v>
      </c>
      <c r="B12" s="14">
        <v>7812.6</v>
      </c>
      <c r="C12" s="14">
        <v>7812.6</v>
      </c>
      <c r="D12" s="14">
        <v>7812.6</v>
      </c>
      <c r="E12" s="14">
        <v>7812.6</v>
      </c>
      <c r="F12" s="14">
        <v>7812.6</v>
      </c>
      <c r="G12" s="14">
        <v>7812.6</v>
      </c>
      <c r="H12" s="14">
        <v>7812.6</v>
      </c>
      <c r="I12" s="14">
        <v>7812.6</v>
      </c>
      <c r="J12" s="14">
        <v>7812.6</v>
      </c>
      <c r="K12" s="14">
        <v>7812.6</v>
      </c>
      <c r="L12" s="14">
        <v>7812.6</v>
      </c>
      <c r="M12" s="14">
        <v>7812.6</v>
      </c>
      <c r="N12" s="14">
        <v>8208.6</v>
      </c>
      <c r="O12" s="14">
        <v>8503.7999999999993</v>
      </c>
      <c r="P12" s="14">
        <v>8830.5</v>
      </c>
      <c r="Q12" s="14">
        <v>8830.5</v>
      </c>
      <c r="R12" s="14">
        <v>9272.7000000000007</v>
      </c>
      <c r="S12" s="14">
        <v>9272.7000000000007</v>
      </c>
      <c r="T12" s="14">
        <v>9735.6</v>
      </c>
      <c r="U12" s="14">
        <v>9735.6</v>
      </c>
      <c r="V12" s="14">
        <v>10223.4</v>
      </c>
      <c r="W12" s="14">
        <v>10223.4</v>
      </c>
    </row>
    <row r="13" spans="1:23" x14ac:dyDescent="0.25">
      <c r="A13" s="13" t="s">
        <v>36</v>
      </c>
      <c r="B13" s="14">
        <v>4393.8</v>
      </c>
      <c r="C13" s="14">
        <v>4726.2</v>
      </c>
      <c r="D13" s="14">
        <v>4861.8</v>
      </c>
      <c r="E13" s="14">
        <v>4995.3</v>
      </c>
      <c r="F13" s="14">
        <v>5225.1000000000004</v>
      </c>
      <c r="G13" s="14">
        <v>5452.8</v>
      </c>
      <c r="H13" s="14">
        <v>5683.2</v>
      </c>
      <c r="I13" s="14">
        <v>6029.1</v>
      </c>
      <c r="J13" s="14">
        <v>6333</v>
      </c>
      <c r="K13" s="14">
        <v>6621.9</v>
      </c>
      <c r="L13" s="14">
        <v>6858.6</v>
      </c>
      <c r="M13" s="14">
        <v>7089.3</v>
      </c>
      <c r="N13" s="14">
        <v>7428</v>
      </c>
      <c r="O13" s="14">
        <v>7706.4</v>
      </c>
      <c r="P13" s="14">
        <v>8024.1</v>
      </c>
      <c r="Q13" s="14">
        <v>8024.1</v>
      </c>
      <c r="R13" s="14">
        <v>8184</v>
      </c>
      <c r="S13" s="14">
        <v>8184</v>
      </c>
      <c r="T13" s="14">
        <v>8184</v>
      </c>
      <c r="U13" s="14">
        <v>8184</v>
      </c>
      <c r="V13" s="14">
        <v>8184</v>
      </c>
      <c r="W13" s="14">
        <v>8184</v>
      </c>
    </row>
    <row r="14" spans="1:23" x14ac:dyDescent="0.25">
      <c r="A14" s="13" t="s">
        <v>37</v>
      </c>
      <c r="B14" s="14">
        <v>4012.5</v>
      </c>
      <c r="C14" s="14">
        <v>4179.6000000000004</v>
      </c>
      <c r="D14" s="14">
        <v>4351.2</v>
      </c>
      <c r="E14" s="14">
        <v>4407.6000000000004</v>
      </c>
      <c r="F14" s="14">
        <v>4586.7</v>
      </c>
      <c r="G14" s="14">
        <v>4940.3999999999996</v>
      </c>
      <c r="H14" s="14">
        <v>5308.5</v>
      </c>
      <c r="I14" s="14">
        <v>5482.2</v>
      </c>
      <c r="J14" s="14">
        <v>5682.9</v>
      </c>
      <c r="K14" s="14">
        <v>5889</v>
      </c>
      <c r="L14" s="14">
        <v>6261</v>
      </c>
      <c r="M14" s="14">
        <v>6511.8</v>
      </c>
      <c r="N14" s="14">
        <v>6661.8</v>
      </c>
      <c r="O14" s="14">
        <v>6821.1</v>
      </c>
      <c r="P14" s="14">
        <v>7038.6</v>
      </c>
      <c r="Q14" s="14">
        <v>7038.6</v>
      </c>
      <c r="R14" s="14">
        <v>7038.6</v>
      </c>
      <c r="S14" s="14">
        <v>7038.6</v>
      </c>
      <c r="T14" s="14">
        <v>7038.6</v>
      </c>
      <c r="U14" s="14">
        <v>7038.6</v>
      </c>
      <c r="V14" s="14">
        <v>7038.6</v>
      </c>
      <c r="W14" s="14">
        <v>7038.6</v>
      </c>
    </row>
    <row r="15" spans="1:23" x14ac:dyDescent="0.25">
      <c r="A15" s="13" t="s">
        <v>38</v>
      </c>
      <c r="B15" s="14">
        <v>3550.5</v>
      </c>
      <c r="C15" s="14">
        <v>3886.2</v>
      </c>
      <c r="D15" s="14">
        <v>3989.7</v>
      </c>
      <c r="E15" s="14">
        <v>4060.5</v>
      </c>
      <c r="F15" s="14">
        <v>4290.8999999999996</v>
      </c>
      <c r="G15" s="14">
        <v>4648.8</v>
      </c>
      <c r="H15" s="14">
        <v>4826.1000000000004</v>
      </c>
      <c r="I15" s="14">
        <v>5000.3999999999996</v>
      </c>
      <c r="J15" s="14">
        <v>5214</v>
      </c>
      <c r="K15" s="14">
        <v>5381.1</v>
      </c>
      <c r="L15" s="14">
        <v>5532</v>
      </c>
      <c r="M15" s="14">
        <v>5713.2</v>
      </c>
      <c r="N15" s="14">
        <v>5832</v>
      </c>
      <c r="O15" s="14">
        <v>5926.2</v>
      </c>
      <c r="P15" s="14">
        <v>5926.2</v>
      </c>
      <c r="Q15" s="14">
        <v>5926.2</v>
      </c>
      <c r="R15" s="14">
        <v>5926.2</v>
      </c>
      <c r="S15" s="14">
        <v>5926.2</v>
      </c>
      <c r="T15" s="14">
        <v>5926.2</v>
      </c>
      <c r="U15" s="14">
        <v>5926.2</v>
      </c>
      <c r="V15" s="14">
        <v>5926.2</v>
      </c>
      <c r="W15" s="14">
        <v>5926.2</v>
      </c>
    </row>
    <row r="16" spans="1:23" x14ac:dyDescent="0.25">
      <c r="A16" s="13" t="s">
        <v>39</v>
      </c>
      <c r="B16" s="14">
        <v>3116.4</v>
      </c>
      <c r="C16" s="14">
        <v>3452.1</v>
      </c>
      <c r="D16" s="14">
        <v>3542.1</v>
      </c>
      <c r="E16" s="14">
        <v>3732.6</v>
      </c>
      <c r="F16" s="14">
        <v>3957.9</v>
      </c>
      <c r="G16" s="14">
        <v>4290.3</v>
      </c>
      <c r="H16" s="14">
        <v>4445.1000000000004</v>
      </c>
      <c r="I16" s="14">
        <v>4662</v>
      </c>
      <c r="J16" s="14">
        <v>4875.3</v>
      </c>
      <c r="K16" s="14">
        <v>5043.3</v>
      </c>
      <c r="L16" s="14">
        <v>5197.5</v>
      </c>
      <c r="M16" s="14">
        <v>5385.3</v>
      </c>
      <c r="N16" s="14">
        <v>5385.3</v>
      </c>
      <c r="O16" s="14">
        <v>5385.3</v>
      </c>
      <c r="P16" s="14">
        <v>5385.3</v>
      </c>
      <c r="Q16" s="14">
        <v>5385.3</v>
      </c>
      <c r="R16" s="14">
        <v>5385.3</v>
      </c>
      <c r="S16" s="14">
        <v>5385.3</v>
      </c>
      <c r="T16" s="14">
        <v>5385.3</v>
      </c>
      <c r="U16" s="14">
        <v>5385.3</v>
      </c>
      <c r="V16" s="14">
        <v>5385.3</v>
      </c>
      <c r="W16" s="14">
        <v>5385.3</v>
      </c>
    </row>
    <row r="17" spans="1:23" x14ac:dyDescent="0.25">
      <c r="A17" s="13" t="s">
        <v>40</v>
      </c>
      <c r="B17" s="14">
        <v>5308.2</v>
      </c>
      <c r="C17" s="14">
        <v>5308.2</v>
      </c>
      <c r="D17" s="14">
        <v>5308.2</v>
      </c>
      <c r="E17" s="14">
        <v>5308.2</v>
      </c>
      <c r="F17" s="14">
        <v>5308.2</v>
      </c>
      <c r="G17" s="14">
        <v>5308.2</v>
      </c>
      <c r="H17" s="14">
        <v>5308.2</v>
      </c>
      <c r="I17" s="14">
        <v>5428.5</v>
      </c>
      <c r="J17" s="14">
        <v>5580.3</v>
      </c>
      <c r="K17" s="14">
        <v>5758.2</v>
      </c>
      <c r="L17" s="14">
        <v>5938.8</v>
      </c>
      <c r="M17" s="14">
        <v>6226.5</v>
      </c>
      <c r="N17" s="14">
        <v>6470.7</v>
      </c>
      <c r="O17" s="14">
        <v>6726.6</v>
      </c>
      <c r="P17" s="14">
        <v>7119.3</v>
      </c>
      <c r="Q17" s="14">
        <v>7119.3</v>
      </c>
      <c r="R17" s="14">
        <v>7474.8</v>
      </c>
      <c r="S17" s="14">
        <v>7474.8</v>
      </c>
      <c r="T17" s="14">
        <v>7848.9</v>
      </c>
      <c r="U17" s="14">
        <v>7848.9</v>
      </c>
      <c r="V17" s="14">
        <v>8241.9</v>
      </c>
      <c r="W17" s="14">
        <v>8241.9</v>
      </c>
    </row>
    <row r="18" spans="1:23" x14ac:dyDescent="0.25">
      <c r="A18" s="13" t="s">
        <v>41</v>
      </c>
      <c r="B18" s="14">
        <v>4345.5</v>
      </c>
      <c r="C18" s="14">
        <v>4345.5</v>
      </c>
      <c r="D18" s="14">
        <v>4345.5</v>
      </c>
      <c r="E18" s="14">
        <v>4345.5</v>
      </c>
      <c r="F18" s="14">
        <v>4345.5</v>
      </c>
      <c r="G18" s="14">
        <v>4345.5</v>
      </c>
      <c r="H18" s="14">
        <v>4537.5</v>
      </c>
      <c r="I18" s="14">
        <v>4656.6000000000004</v>
      </c>
      <c r="J18" s="14">
        <v>4798.8</v>
      </c>
      <c r="K18" s="14">
        <v>4953.6000000000004</v>
      </c>
      <c r="L18" s="14">
        <v>5232.3</v>
      </c>
      <c r="M18" s="14">
        <v>5373.6</v>
      </c>
      <c r="N18" s="14">
        <v>5613.9</v>
      </c>
      <c r="O18" s="14">
        <v>5747.4</v>
      </c>
      <c r="P18" s="14">
        <v>6075.6</v>
      </c>
      <c r="Q18" s="14">
        <v>6075.6</v>
      </c>
      <c r="R18" s="14">
        <v>6197.7</v>
      </c>
      <c r="S18" s="14">
        <v>6197.7</v>
      </c>
      <c r="T18" s="14">
        <v>6197.7</v>
      </c>
      <c r="U18" s="14">
        <v>6197.7</v>
      </c>
      <c r="V18" s="14">
        <v>6197.7</v>
      </c>
      <c r="W18" s="14">
        <v>6197.7</v>
      </c>
    </row>
    <row r="19" spans="1:23" x14ac:dyDescent="0.25">
      <c r="A19" s="13" t="s">
        <v>42</v>
      </c>
      <c r="B19" s="14">
        <v>3020.7</v>
      </c>
      <c r="C19" s="14">
        <v>3296.7</v>
      </c>
      <c r="D19" s="14">
        <v>3423.3</v>
      </c>
      <c r="E19" s="14">
        <v>3590.1</v>
      </c>
      <c r="F19" s="14">
        <v>3720.9</v>
      </c>
      <c r="G19" s="14">
        <v>3945</v>
      </c>
      <c r="H19" s="14">
        <v>4071.6</v>
      </c>
      <c r="I19" s="14">
        <v>4295.7</v>
      </c>
      <c r="J19" s="14">
        <v>4482.6000000000004</v>
      </c>
      <c r="K19" s="14">
        <v>4609.8</v>
      </c>
      <c r="L19" s="14">
        <v>4745.3999999999996</v>
      </c>
      <c r="M19" s="14">
        <v>4797.6000000000004</v>
      </c>
      <c r="N19" s="14">
        <v>4974.3</v>
      </c>
      <c r="O19" s="14">
        <v>5068.8</v>
      </c>
      <c r="P19" s="14">
        <v>5429.1</v>
      </c>
      <c r="Q19" s="14">
        <v>5429.1</v>
      </c>
      <c r="R19" s="14">
        <v>5429.1</v>
      </c>
      <c r="S19" s="14">
        <v>5429.1</v>
      </c>
      <c r="T19" s="14">
        <v>5429.1</v>
      </c>
      <c r="U19" s="14">
        <v>5429.1</v>
      </c>
      <c r="V19" s="14">
        <v>5429.1</v>
      </c>
      <c r="W19" s="14">
        <v>5429.1</v>
      </c>
    </row>
    <row r="20" spans="1:23" x14ac:dyDescent="0.25">
      <c r="A20" s="13" t="s">
        <v>43</v>
      </c>
      <c r="B20" s="14">
        <v>2612.6999999999998</v>
      </c>
      <c r="C20" s="14">
        <v>2875.2</v>
      </c>
      <c r="D20" s="14">
        <v>3002.1</v>
      </c>
      <c r="E20" s="14">
        <v>3125.4</v>
      </c>
      <c r="F20" s="14">
        <v>3254.1</v>
      </c>
      <c r="G20" s="14">
        <v>3543.3</v>
      </c>
      <c r="H20" s="14">
        <v>3656.4</v>
      </c>
      <c r="I20" s="14">
        <v>3874.8</v>
      </c>
      <c r="J20" s="14">
        <v>3941.4</v>
      </c>
      <c r="K20" s="14">
        <v>3990</v>
      </c>
      <c r="L20" s="14">
        <v>4046.7</v>
      </c>
      <c r="M20" s="14">
        <v>4046.7</v>
      </c>
      <c r="N20" s="14">
        <v>4046.7</v>
      </c>
      <c r="O20" s="14">
        <v>4046.7</v>
      </c>
      <c r="P20" s="14">
        <v>4046.7</v>
      </c>
      <c r="Q20" s="14">
        <v>4046.7</v>
      </c>
      <c r="R20" s="14">
        <v>4046.7</v>
      </c>
      <c r="S20" s="14">
        <v>4046.7</v>
      </c>
      <c r="T20" s="14">
        <v>4046.7</v>
      </c>
      <c r="U20" s="14">
        <v>4046.7</v>
      </c>
      <c r="V20" s="14">
        <v>4046.7</v>
      </c>
      <c r="W20" s="14">
        <v>4046.7</v>
      </c>
    </row>
    <row r="21" spans="1:23" x14ac:dyDescent="0.25">
      <c r="A21" s="13" t="s">
        <v>44</v>
      </c>
      <c r="B21" s="14">
        <v>2393.4</v>
      </c>
      <c r="C21" s="14">
        <v>2554.8000000000002</v>
      </c>
      <c r="D21" s="14">
        <v>2678.1</v>
      </c>
      <c r="E21" s="14">
        <v>2804.4</v>
      </c>
      <c r="F21" s="14">
        <v>3001.5</v>
      </c>
      <c r="G21" s="14">
        <v>3207</v>
      </c>
      <c r="H21" s="14">
        <v>3376.2</v>
      </c>
      <c r="I21" s="14">
        <v>3396.6</v>
      </c>
      <c r="J21" s="14">
        <v>3396.6</v>
      </c>
      <c r="K21" s="14">
        <v>3396.6</v>
      </c>
      <c r="L21" s="14">
        <v>3396.6</v>
      </c>
      <c r="M21" s="14">
        <v>3396.6</v>
      </c>
      <c r="N21" s="14">
        <v>3396.6</v>
      </c>
      <c r="O21" s="14">
        <v>3396.6</v>
      </c>
      <c r="P21" s="14">
        <v>3396.6</v>
      </c>
      <c r="Q21" s="14">
        <v>3396.6</v>
      </c>
      <c r="R21" s="14">
        <v>3396.6</v>
      </c>
      <c r="S21" s="14">
        <v>3396.6</v>
      </c>
      <c r="T21" s="14">
        <v>3396.6</v>
      </c>
      <c r="U21" s="14">
        <v>3396.6</v>
      </c>
      <c r="V21" s="14">
        <v>3396.6</v>
      </c>
      <c r="W21" s="14">
        <v>3396.6</v>
      </c>
    </row>
    <row r="22" spans="1:23" x14ac:dyDescent="0.25">
      <c r="A22" s="13" t="s">
        <v>45</v>
      </c>
      <c r="B22" s="14">
        <v>2194.5</v>
      </c>
      <c r="C22" s="14">
        <v>2307</v>
      </c>
      <c r="D22" s="14">
        <v>2431.8000000000002</v>
      </c>
      <c r="E22" s="14">
        <v>2555.4</v>
      </c>
      <c r="F22" s="14">
        <v>2664</v>
      </c>
      <c r="G22" s="14">
        <v>2664</v>
      </c>
      <c r="H22" s="14">
        <v>2664</v>
      </c>
      <c r="I22" s="14">
        <v>2664</v>
      </c>
      <c r="J22" s="14">
        <v>2664</v>
      </c>
      <c r="K22" s="14">
        <v>2664</v>
      </c>
      <c r="L22" s="14">
        <v>2664</v>
      </c>
      <c r="M22" s="14">
        <v>2664</v>
      </c>
      <c r="N22" s="14">
        <v>2664</v>
      </c>
      <c r="O22" s="14">
        <v>2664</v>
      </c>
      <c r="P22" s="14">
        <v>2664</v>
      </c>
      <c r="Q22" s="14">
        <v>2664</v>
      </c>
      <c r="R22" s="14">
        <v>2664</v>
      </c>
      <c r="S22" s="14">
        <v>2664</v>
      </c>
      <c r="T22" s="14">
        <v>2664</v>
      </c>
      <c r="U22" s="14">
        <v>2664</v>
      </c>
      <c r="V22" s="14">
        <v>2664</v>
      </c>
      <c r="W22" s="14">
        <v>2664</v>
      </c>
    </row>
    <row r="23" spans="1:23" x14ac:dyDescent="0.25">
      <c r="A23" s="13" t="s">
        <v>46</v>
      </c>
      <c r="B23" s="14">
        <v>1981.2</v>
      </c>
      <c r="C23" s="14">
        <v>2105.6999999999998</v>
      </c>
      <c r="D23" s="14">
        <v>2233.5</v>
      </c>
      <c r="E23" s="14">
        <v>2233.5</v>
      </c>
      <c r="F23" s="14">
        <v>2233.5</v>
      </c>
      <c r="G23" s="14">
        <v>2233.5</v>
      </c>
      <c r="H23" s="14">
        <v>2233.5</v>
      </c>
      <c r="I23" s="14">
        <v>2233.5</v>
      </c>
      <c r="J23" s="14">
        <v>2233.5</v>
      </c>
      <c r="K23" s="14">
        <v>2233.5</v>
      </c>
      <c r="L23" s="14">
        <v>2233.5</v>
      </c>
      <c r="M23" s="14">
        <v>2233.5</v>
      </c>
      <c r="N23" s="14">
        <v>2233.5</v>
      </c>
      <c r="O23" s="14">
        <v>2233.5</v>
      </c>
      <c r="P23" s="14">
        <v>2233.5</v>
      </c>
      <c r="Q23" s="14">
        <v>2233.5</v>
      </c>
      <c r="R23" s="14">
        <v>2233.5</v>
      </c>
      <c r="S23" s="14">
        <v>2233.5</v>
      </c>
      <c r="T23" s="14">
        <v>2233.5</v>
      </c>
      <c r="U23" s="14">
        <v>2233.5</v>
      </c>
      <c r="V23" s="14">
        <v>2233.5</v>
      </c>
      <c r="W23" s="14">
        <v>2233.5</v>
      </c>
    </row>
    <row r="24" spans="1:23" x14ac:dyDescent="0.25">
      <c r="A24" s="13" t="s">
        <v>47</v>
      </c>
      <c r="B24" s="14">
        <v>1884</v>
      </c>
      <c r="C24" s="14">
        <v>1884</v>
      </c>
      <c r="D24" s="14">
        <v>1884</v>
      </c>
      <c r="E24" s="14">
        <v>1884</v>
      </c>
      <c r="F24" s="14">
        <v>1884</v>
      </c>
      <c r="G24" s="14">
        <v>1884</v>
      </c>
      <c r="H24" s="14">
        <v>1884</v>
      </c>
      <c r="I24" s="14">
        <v>1884</v>
      </c>
      <c r="J24" s="14">
        <v>1884</v>
      </c>
      <c r="K24" s="14">
        <v>1884</v>
      </c>
      <c r="L24" s="14">
        <v>1884</v>
      </c>
      <c r="M24" s="14">
        <v>1884</v>
      </c>
      <c r="N24" s="14">
        <v>1884</v>
      </c>
      <c r="O24" s="14">
        <v>1884</v>
      </c>
      <c r="P24" s="14">
        <v>1884</v>
      </c>
      <c r="Q24" s="14">
        <v>1884</v>
      </c>
      <c r="R24" s="14">
        <v>1884</v>
      </c>
      <c r="S24" s="14">
        <v>1884</v>
      </c>
      <c r="T24" s="14">
        <v>1884</v>
      </c>
      <c r="U24" s="14">
        <v>1884</v>
      </c>
      <c r="V24" s="14">
        <v>1884</v>
      </c>
      <c r="W24" s="14">
        <v>1884</v>
      </c>
    </row>
    <row r="25" spans="1:23" x14ac:dyDescent="0.25">
      <c r="A25" s="13" t="s">
        <v>56</v>
      </c>
      <c r="B25" s="14">
        <v>1680.9</v>
      </c>
      <c r="C25" s="14">
        <v>1680.9</v>
      </c>
      <c r="D25" s="14">
        <v>1680.9</v>
      </c>
      <c r="E25" s="14">
        <v>1680.9</v>
      </c>
      <c r="F25" s="14">
        <v>1680.9</v>
      </c>
      <c r="G25" s="14">
        <v>1680.9</v>
      </c>
      <c r="H25" s="14">
        <v>1680.9</v>
      </c>
      <c r="I25" s="14">
        <v>1680.9</v>
      </c>
      <c r="J25" s="14">
        <v>1680.9</v>
      </c>
      <c r="K25" s="14">
        <v>1680.9</v>
      </c>
      <c r="L25" s="14">
        <v>1680.9</v>
      </c>
      <c r="M25" s="14">
        <v>1680.9</v>
      </c>
      <c r="N25" s="14">
        <v>1680.9</v>
      </c>
      <c r="O25" s="14">
        <v>1680.9</v>
      </c>
      <c r="P25" s="14">
        <v>1680.9</v>
      </c>
      <c r="Q25" s="14">
        <v>1680.9</v>
      </c>
      <c r="R25" s="14">
        <v>1680.9</v>
      </c>
      <c r="S25" s="14">
        <v>1680.9</v>
      </c>
      <c r="T25" s="14">
        <v>1680.9</v>
      </c>
      <c r="U25" s="14">
        <v>1680.9</v>
      </c>
      <c r="V25" s="14">
        <v>1680.9</v>
      </c>
      <c r="W25" s="14">
        <v>1680.9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36C0F-9BA7-4DDE-B56E-3721E04CE324}">
  <sheetPr>
    <tabColor rgb="FF0070C0"/>
  </sheetPr>
  <dimension ref="A1:W25"/>
  <sheetViews>
    <sheetView workbookViewId="0">
      <selection activeCell="V19" sqref="V19"/>
    </sheetView>
  </sheetViews>
  <sheetFormatPr defaultColWidth="9.140625" defaultRowHeight="15" x14ac:dyDescent="0.25"/>
  <cols>
    <col min="1" max="1" width="18.28515625" bestFit="1" customWidth="1"/>
  </cols>
  <sheetData>
    <row r="1" spans="1:23" ht="15.75" thickBot="1" x14ac:dyDescent="0.3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ht="15.75" thickBot="1" x14ac:dyDescent="0.3">
      <c r="A2" s="11" t="s">
        <v>48</v>
      </c>
      <c r="B2" s="21">
        <v>15800.1</v>
      </c>
      <c r="C2" s="21">
        <v>15800.1</v>
      </c>
      <c r="D2" s="21">
        <v>15800.1</v>
      </c>
      <c r="E2" s="21">
        <v>15800.1</v>
      </c>
      <c r="F2" s="21">
        <v>15800.1</v>
      </c>
      <c r="G2" s="21">
        <v>15800.1</v>
      </c>
      <c r="H2" s="21">
        <v>15800.1</v>
      </c>
      <c r="I2" s="21">
        <v>15800.1</v>
      </c>
      <c r="J2" s="21">
        <v>15800.1</v>
      </c>
      <c r="K2" s="21">
        <v>15800.1</v>
      </c>
      <c r="L2" s="21">
        <v>15800.1</v>
      </c>
      <c r="M2" s="21">
        <v>15800.1</v>
      </c>
      <c r="N2" s="21">
        <v>15800.1</v>
      </c>
      <c r="O2" s="21">
        <v>15800.1</v>
      </c>
      <c r="P2" s="21">
        <v>15800.1</v>
      </c>
      <c r="Q2" s="21">
        <v>15800.1</v>
      </c>
      <c r="R2" s="21">
        <v>15800.1</v>
      </c>
      <c r="S2" s="21">
        <v>15800.1</v>
      </c>
      <c r="T2" s="21">
        <v>15800.1</v>
      </c>
      <c r="U2" s="21">
        <v>15800.1</v>
      </c>
      <c r="V2" s="21">
        <v>15800.1</v>
      </c>
      <c r="W2" s="21">
        <v>15800.1</v>
      </c>
    </row>
    <row r="3" spans="1:23" ht="15.75" thickBot="1" x14ac:dyDescent="0.3">
      <c r="A3" s="11" t="s">
        <v>49</v>
      </c>
      <c r="B3" s="21">
        <v>14696.4</v>
      </c>
      <c r="C3" s="21">
        <v>14696.4</v>
      </c>
      <c r="D3" s="21">
        <v>14696.4</v>
      </c>
      <c r="E3" s="21">
        <v>14696.4</v>
      </c>
      <c r="F3" s="21">
        <v>14696.4</v>
      </c>
      <c r="G3" s="21">
        <v>14696.4</v>
      </c>
      <c r="H3" s="21">
        <v>14696.4</v>
      </c>
      <c r="I3" s="21">
        <v>14696.4</v>
      </c>
      <c r="J3" s="21">
        <v>14696.4</v>
      </c>
      <c r="K3" s="21">
        <v>14696.4</v>
      </c>
      <c r="L3" s="21">
        <v>14696.4</v>
      </c>
      <c r="M3" s="21">
        <v>14696.4</v>
      </c>
      <c r="N3" s="21">
        <v>14908.8</v>
      </c>
      <c r="O3" s="21">
        <v>15214.5</v>
      </c>
      <c r="P3" s="21">
        <v>15747.6</v>
      </c>
      <c r="Q3" s="21">
        <v>15747.6</v>
      </c>
      <c r="R3" s="21">
        <v>15800.1</v>
      </c>
      <c r="S3" s="21">
        <v>15800.1</v>
      </c>
      <c r="T3" s="21">
        <v>15800.1</v>
      </c>
      <c r="U3" s="21">
        <v>15800.1</v>
      </c>
      <c r="V3" s="21">
        <v>15800.1</v>
      </c>
      <c r="W3" s="21">
        <v>15800.1</v>
      </c>
    </row>
    <row r="4" spans="1:23" ht="15.75" thickBot="1" x14ac:dyDescent="0.3">
      <c r="A4" s="11" t="s">
        <v>50</v>
      </c>
      <c r="B4" s="19">
        <v>10398.6</v>
      </c>
      <c r="C4" s="19">
        <v>10739.4</v>
      </c>
      <c r="D4" s="19">
        <v>10965.6</v>
      </c>
      <c r="E4" s="19">
        <v>11028.6</v>
      </c>
      <c r="F4" s="19">
        <v>11310.9</v>
      </c>
      <c r="G4" s="19">
        <v>11781.9</v>
      </c>
      <c r="H4" s="21">
        <v>11891.4</v>
      </c>
      <c r="I4" s="21">
        <v>12339</v>
      </c>
      <c r="J4" s="21">
        <v>12467.4</v>
      </c>
      <c r="K4" s="21">
        <v>12852.9</v>
      </c>
      <c r="L4" s="21">
        <v>13410.9</v>
      </c>
      <c r="M4" s="21">
        <v>13925.1</v>
      </c>
      <c r="N4" s="21">
        <v>14268.3</v>
      </c>
      <c r="O4" s="21">
        <v>14268.3</v>
      </c>
      <c r="P4" s="21">
        <v>14268.3</v>
      </c>
      <c r="Q4" s="21">
        <v>14268.3</v>
      </c>
      <c r="R4" s="21">
        <v>14625.6</v>
      </c>
      <c r="S4" s="21">
        <v>14625.6</v>
      </c>
      <c r="T4" s="21">
        <v>14991</v>
      </c>
      <c r="U4" s="21">
        <v>14991</v>
      </c>
      <c r="V4" s="21">
        <v>14991</v>
      </c>
      <c r="W4" s="21">
        <v>14991</v>
      </c>
    </row>
    <row r="5" spans="1:23" ht="15.75" thickBot="1" x14ac:dyDescent="0.3">
      <c r="A5" s="11" t="s">
        <v>51</v>
      </c>
      <c r="B5" s="19">
        <v>8640.6</v>
      </c>
      <c r="C5" s="19">
        <v>9041.7000000000007</v>
      </c>
      <c r="D5" s="19">
        <v>9227.7000000000007</v>
      </c>
      <c r="E5" s="19">
        <v>9375.2999999999993</v>
      </c>
      <c r="F5" s="19">
        <v>9642.6</v>
      </c>
      <c r="G5" s="19">
        <v>9906.9</v>
      </c>
      <c r="H5" s="21">
        <v>10212.299999999999</v>
      </c>
      <c r="I5" s="21">
        <v>10516.8</v>
      </c>
      <c r="J5" s="21">
        <v>10822.2</v>
      </c>
      <c r="K5" s="21">
        <v>11781.9</v>
      </c>
      <c r="L5" s="21">
        <v>12591.9</v>
      </c>
      <c r="M5" s="21">
        <v>12591.9</v>
      </c>
      <c r="N5" s="21">
        <v>12591.9</v>
      </c>
      <c r="O5" s="21">
        <v>12591.9</v>
      </c>
      <c r="P5" s="21">
        <v>12656.4</v>
      </c>
      <c r="Q5" s="21">
        <v>12656.4</v>
      </c>
      <c r="R5" s="21">
        <v>12909.6</v>
      </c>
      <c r="S5" s="21">
        <v>12909.6</v>
      </c>
      <c r="T5" s="21">
        <v>12909.6</v>
      </c>
      <c r="U5" s="21">
        <v>12909.6</v>
      </c>
      <c r="V5" s="21">
        <v>12909.6</v>
      </c>
      <c r="W5" s="21">
        <v>12909.6</v>
      </c>
    </row>
    <row r="6" spans="1:23" ht="15.75" thickBot="1" x14ac:dyDescent="0.3">
      <c r="A6" s="11" t="s">
        <v>52</v>
      </c>
      <c r="B6" s="19">
        <v>6552.3</v>
      </c>
      <c r="C6" s="19">
        <v>7198.5</v>
      </c>
      <c r="D6" s="19">
        <v>7671</v>
      </c>
      <c r="E6" s="19">
        <v>7671</v>
      </c>
      <c r="F6" s="19">
        <v>7700.4</v>
      </c>
      <c r="G6" s="19">
        <v>8030.4</v>
      </c>
      <c r="H6" s="21">
        <v>8073.9</v>
      </c>
      <c r="I6" s="21">
        <v>8073.9</v>
      </c>
      <c r="J6" s="21">
        <v>8532.6</v>
      </c>
      <c r="K6" s="21">
        <v>9343.7999999999993</v>
      </c>
      <c r="L6" s="21">
        <v>9819.9</v>
      </c>
      <c r="M6" s="21">
        <v>10295.700000000001</v>
      </c>
      <c r="N6" s="21">
        <v>10566.6</v>
      </c>
      <c r="O6" s="21">
        <v>10841.1</v>
      </c>
      <c r="P6" s="21">
        <v>11372.4</v>
      </c>
      <c r="Q6" s="21">
        <v>11372.4</v>
      </c>
      <c r="R6" s="21">
        <v>11599.8</v>
      </c>
      <c r="S6" s="21">
        <v>11599.8</v>
      </c>
      <c r="T6" s="21">
        <v>11599.8</v>
      </c>
      <c r="U6" s="21">
        <v>11599.8</v>
      </c>
      <c r="V6" s="21">
        <v>11599.8</v>
      </c>
      <c r="W6" s="21">
        <v>11599.8</v>
      </c>
    </row>
    <row r="7" spans="1:23" ht="15.75" thickBot="1" x14ac:dyDescent="0.3">
      <c r="A7" s="11" t="s">
        <v>33</v>
      </c>
      <c r="B7" s="19">
        <v>5462.4</v>
      </c>
      <c r="C7" s="19">
        <v>6153.6</v>
      </c>
      <c r="D7" s="19">
        <v>6579</v>
      </c>
      <c r="E7" s="19">
        <v>6659.4</v>
      </c>
      <c r="F7" s="19">
        <v>6925.5</v>
      </c>
      <c r="G7" s="19">
        <v>7084.2</v>
      </c>
      <c r="H7" s="21">
        <v>7434</v>
      </c>
      <c r="I7" s="21">
        <v>7690.8</v>
      </c>
      <c r="J7" s="21">
        <v>8022.3</v>
      </c>
      <c r="K7" s="21">
        <v>8529.6</v>
      </c>
      <c r="L7" s="21">
        <v>8770.5</v>
      </c>
      <c r="M7" s="21">
        <v>9009.2999999999993</v>
      </c>
      <c r="N7" s="21">
        <v>9280.2000000000007</v>
      </c>
      <c r="O7" s="21">
        <v>9280.2000000000007</v>
      </c>
      <c r="P7" s="21">
        <v>9280.2000000000007</v>
      </c>
      <c r="Q7" s="21">
        <v>9280.2000000000007</v>
      </c>
      <c r="R7" s="21">
        <v>9280.2000000000007</v>
      </c>
      <c r="S7" s="21">
        <v>9280.2000000000007</v>
      </c>
      <c r="T7" s="21">
        <v>9280.2000000000007</v>
      </c>
      <c r="U7" s="21">
        <v>9280.2000000000007</v>
      </c>
      <c r="V7" s="21">
        <v>9280.2000000000007</v>
      </c>
      <c r="W7" s="21">
        <v>9280.2000000000007</v>
      </c>
    </row>
    <row r="8" spans="1:23" ht="15.75" thickBot="1" x14ac:dyDescent="0.3">
      <c r="A8" s="11" t="s">
        <v>34</v>
      </c>
      <c r="B8" s="19">
        <v>4713</v>
      </c>
      <c r="C8" s="19">
        <v>5455.5</v>
      </c>
      <c r="D8" s="19">
        <v>5820</v>
      </c>
      <c r="E8" s="19">
        <v>5900.7</v>
      </c>
      <c r="F8" s="19">
        <v>6238.5</v>
      </c>
      <c r="G8" s="19">
        <v>6601.2</v>
      </c>
      <c r="H8" s="21">
        <v>7052.7</v>
      </c>
      <c r="I8" s="21">
        <v>7403.7</v>
      </c>
      <c r="J8" s="21">
        <v>7647.6</v>
      </c>
      <c r="K8" s="21">
        <v>7788</v>
      </c>
      <c r="L8" s="21">
        <v>7869.3</v>
      </c>
      <c r="M8" s="21">
        <v>7869.3</v>
      </c>
      <c r="N8" s="21">
        <v>7869.3</v>
      </c>
      <c r="O8" s="21">
        <v>7869.3</v>
      </c>
      <c r="P8" s="21">
        <v>7869.3</v>
      </c>
      <c r="Q8" s="21">
        <v>7869.3</v>
      </c>
      <c r="R8" s="21">
        <v>7869.3</v>
      </c>
      <c r="S8" s="21">
        <v>7869.3</v>
      </c>
      <c r="T8" s="21">
        <v>7869.3</v>
      </c>
      <c r="U8" s="21">
        <v>7869.3</v>
      </c>
      <c r="V8" s="21">
        <v>7869.3</v>
      </c>
      <c r="W8" s="21">
        <v>7869.3</v>
      </c>
    </row>
    <row r="9" spans="1:23" ht="15.75" thickBot="1" x14ac:dyDescent="0.3">
      <c r="A9" s="11" t="s">
        <v>53</v>
      </c>
      <c r="B9" s="19">
        <v>4143.8999999999996</v>
      </c>
      <c r="C9" s="19">
        <v>4697.1000000000004</v>
      </c>
      <c r="D9" s="19">
        <v>5069.7</v>
      </c>
      <c r="E9" s="19">
        <v>5527.8</v>
      </c>
      <c r="F9" s="19">
        <v>5793</v>
      </c>
      <c r="G9" s="19">
        <v>6083.4</v>
      </c>
      <c r="H9" s="21">
        <v>6271.2</v>
      </c>
      <c r="I9" s="21">
        <v>6580.2</v>
      </c>
      <c r="J9" s="21">
        <v>6741.6</v>
      </c>
      <c r="K9" s="21">
        <v>6741.6</v>
      </c>
      <c r="L9" s="21">
        <v>6741.6</v>
      </c>
      <c r="M9" s="21">
        <v>6741.6</v>
      </c>
      <c r="N9" s="21">
        <v>6741.6</v>
      </c>
      <c r="O9" s="21">
        <v>6741.6</v>
      </c>
      <c r="P9" s="21">
        <v>6741.6</v>
      </c>
      <c r="Q9" s="21">
        <v>6741.6</v>
      </c>
      <c r="R9" s="21">
        <v>6741.6</v>
      </c>
      <c r="S9" s="21">
        <v>6741.6</v>
      </c>
      <c r="T9" s="21">
        <v>6741.6</v>
      </c>
      <c r="U9" s="21">
        <v>6741.6</v>
      </c>
      <c r="V9" s="21">
        <v>6741.6</v>
      </c>
      <c r="W9" s="21">
        <v>6741.6</v>
      </c>
    </row>
    <row r="10" spans="1:23" ht="15.75" thickBot="1" x14ac:dyDescent="0.3">
      <c r="A10" s="11" t="s">
        <v>54</v>
      </c>
      <c r="B10" s="19">
        <v>3580.5</v>
      </c>
      <c r="C10" s="19">
        <v>4077.9</v>
      </c>
      <c r="D10" s="19">
        <v>4696.2</v>
      </c>
      <c r="E10" s="19">
        <v>4854.8999999999996</v>
      </c>
      <c r="F10" s="19">
        <v>4955.1000000000004</v>
      </c>
      <c r="G10" s="19">
        <v>4955.1000000000004</v>
      </c>
      <c r="H10" s="21">
        <v>4955.1000000000004</v>
      </c>
      <c r="I10" s="21">
        <v>4955.1000000000004</v>
      </c>
      <c r="J10" s="21">
        <v>4955.1000000000004</v>
      </c>
      <c r="K10" s="21">
        <v>4955.1000000000004</v>
      </c>
      <c r="L10" s="21">
        <v>4955.1000000000004</v>
      </c>
      <c r="M10" s="21">
        <v>4955.1000000000004</v>
      </c>
      <c r="N10" s="21">
        <v>4955.1000000000004</v>
      </c>
      <c r="O10" s="21">
        <v>4955.1000000000004</v>
      </c>
      <c r="P10" s="21">
        <v>4955.1000000000004</v>
      </c>
      <c r="Q10" s="21">
        <v>4955.1000000000004</v>
      </c>
      <c r="R10" s="21">
        <v>4955.1000000000004</v>
      </c>
      <c r="S10" s="21">
        <v>4955.1000000000004</v>
      </c>
      <c r="T10" s="21">
        <v>4955.1000000000004</v>
      </c>
      <c r="U10" s="21">
        <v>4955.1000000000004</v>
      </c>
      <c r="V10" s="21">
        <v>4955.1000000000004</v>
      </c>
      <c r="W10" s="21">
        <v>4955.1000000000004</v>
      </c>
    </row>
    <row r="11" spans="1:23" ht="15.75" thickBot="1" x14ac:dyDescent="0.3">
      <c r="A11" s="11" t="s">
        <v>55</v>
      </c>
      <c r="B11" s="19">
        <v>3107.7</v>
      </c>
      <c r="C11" s="19">
        <v>3234.9</v>
      </c>
      <c r="D11" s="19">
        <v>3910.2</v>
      </c>
      <c r="E11" s="19">
        <v>3910.2</v>
      </c>
      <c r="F11" s="19">
        <v>3910.2</v>
      </c>
      <c r="G11" s="19">
        <v>3910.2</v>
      </c>
      <c r="H11" s="19">
        <v>3910.2</v>
      </c>
      <c r="I11" s="19">
        <v>3910.2</v>
      </c>
      <c r="J11" s="19">
        <v>3910.2</v>
      </c>
      <c r="K11" s="19">
        <v>3910.2</v>
      </c>
      <c r="L11" s="19">
        <v>3910.2</v>
      </c>
      <c r="M11" s="19">
        <v>3910.2</v>
      </c>
      <c r="N11" s="19">
        <v>3910.2</v>
      </c>
      <c r="O11" s="19">
        <v>3910.2</v>
      </c>
      <c r="P11" s="19">
        <v>3910.2</v>
      </c>
      <c r="Q11" s="19">
        <v>3910.2</v>
      </c>
      <c r="R11" s="19">
        <v>3910.2</v>
      </c>
      <c r="S11" s="19">
        <v>3910.2</v>
      </c>
      <c r="T11" s="19">
        <v>3910.2</v>
      </c>
      <c r="U11" s="19">
        <v>3910.2</v>
      </c>
      <c r="V11" s="19">
        <v>3910.2</v>
      </c>
      <c r="W11" s="19">
        <v>3910.2</v>
      </c>
    </row>
    <row r="12" spans="1:23" ht="15.75" thickBot="1" x14ac:dyDescent="0.3">
      <c r="A12" s="13" t="s">
        <v>35</v>
      </c>
      <c r="B12" s="21">
        <v>7614.6</v>
      </c>
      <c r="C12" s="21">
        <v>7614.6</v>
      </c>
      <c r="D12" s="21">
        <v>7614.6</v>
      </c>
      <c r="E12" s="21">
        <v>7614.6</v>
      </c>
      <c r="F12" s="21">
        <v>7614.6</v>
      </c>
      <c r="G12" s="21">
        <v>7614.6</v>
      </c>
      <c r="H12" s="21">
        <v>7614.6</v>
      </c>
      <c r="I12" s="21">
        <v>7614.6</v>
      </c>
      <c r="J12" s="21">
        <v>7614.6</v>
      </c>
      <c r="K12" s="21">
        <v>7614.6</v>
      </c>
      <c r="L12" s="21">
        <v>7614.6</v>
      </c>
      <c r="M12" s="21">
        <v>7614.6</v>
      </c>
      <c r="N12" s="21">
        <v>8000.7</v>
      </c>
      <c r="O12" s="21">
        <v>8288.4</v>
      </c>
      <c r="P12" s="21">
        <v>8606.7000000000007</v>
      </c>
      <c r="Q12" s="21">
        <v>8606.7000000000007</v>
      </c>
      <c r="R12" s="21">
        <v>9037.7999999999993</v>
      </c>
      <c r="S12" s="21">
        <v>9037.7999999999993</v>
      </c>
      <c r="T12" s="21">
        <v>9489</v>
      </c>
      <c r="U12" s="21">
        <v>9489</v>
      </c>
      <c r="V12" s="21">
        <v>9964.2000000000007</v>
      </c>
      <c r="W12" s="21">
        <v>9964.2000000000007</v>
      </c>
    </row>
    <row r="13" spans="1:23" ht="15.75" thickBot="1" x14ac:dyDescent="0.3">
      <c r="A13" s="13" t="s">
        <v>36</v>
      </c>
      <c r="B13" s="20">
        <v>4282.5</v>
      </c>
      <c r="C13" s="21">
        <v>4606.5</v>
      </c>
      <c r="D13" s="21">
        <v>4738.5</v>
      </c>
      <c r="E13" s="21">
        <v>4868.7</v>
      </c>
      <c r="F13" s="21">
        <v>5092.8</v>
      </c>
      <c r="G13" s="21">
        <v>5314.5</v>
      </c>
      <c r="H13" s="21">
        <v>5539.2</v>
      </c>
      <c r="I13" s="21">
        <v>5876.4</v>
      </c>
      <c r="J13" s="21">
        <v>6172.5</v>
      </c>
      <c r="K13" s="21">
        <v>6454.2</v>
      </c>
      <c r="L13" s="21">
        <v>6684.9</v>
      </c>
      <c r="M13" s="21">
        <v>6909.6</v>
      </c>
      <c r="N13" s="21">
        <v>7239.9</v>
      </c>
      <c r="O13" s="21">
        <v>7511.1</v>
      </c>
      <c r="P13" s="21">
        <v>7820.7</v>
      </c>
      <c r="Q13" s="21">
        <v>7820.7</v>
      </c>
      <c r="R13" s="21">
        <v>7976.7</v>
      </c>
      <c r="S13" s="21">
        <v>7976.7</v>
      </c>
      <c r="T13" s="21">
        <v>7976.7</v>
      </c>
      <c r="U13" s="21">
        <v>7976.7</v>
      </c>
      <c r="V13" s="21">
        <v>7976.7</v>
      </c>
      <c r="W13" s="21">
        <v>7976.7</v>
      </c>
    </row>
    <row r="14" spans="1:23" ht="15.75" thickBot="1" x14ac:dyDescent="0.3">
      <c r="A14" s="13" t="s">
        <v>37</v>
      </c>
      <c r="B14" s="20">
        <v>3910.8</v>
      </c>
      <c r="C14" s="20">
        <v>4073.7</v>
      </c>
      <c r="D14" s="20">
        <v>4240.8</v>
      </c>
      <c r="E14" s="20">
        <v>4296</v>
      </c>
      <c r="F14" s="20">
        <v>4470.6000000000004</v>
      </c>
      <c r="G14" s="20">
        <v>4815.3</v>
      </c>
      <c r="H14" s="21">
        <v>5174.1000000000004</v>
      </c>
      <c r="I14" s="21">
        <v>5343.3</v>
      </c>
      <c r="J14" s="21">
        <v>5538.9</v>
      </c>
      <c r="K14" s="21">
        <v>5739.9</v>
      </c>
      <c r="L14" s="21">
        <v>6102.3</v>
      </c>
      <c r="M14" s="21">
        <v>6346.8</v>
      </c>
      <c r="N14" s="21">
        <v>6492.9</v>
      </c>
      <c r="O14" s="21">
        <v>6648.3</v>
      </c>
      <c r="P14" s="21">
        <v>6860.1</v>
      </c>
      <c r="Q14" s="21">
        <v>6860.1</v>
      </c>
      <c r="R14" s="21">
        <v>6860.1</v>
      </c>
      <c r="S14" s="21">
        <v>6860.1</v>
      </c>
      <c r="T14" s="21">
        <v>6860.1</v>
      </c>
      <c r="U14" s="21">
        <v>6860.1</v>
      </c>
      <c r="V14" s="21">
        <v>6860.1</v>
      </c>
      <c r="W14" s="21">
        <v>6860.1</v>
      </c>
    </row>
    <row r="15" spans="1:23" ht="15.75" thickBot="1" x14ac:dyDescent="0.3">
      <c r="A15" s="13" t="s">
        <v>38</v>
      </c>
      <c r="B15" s="20">
        <v>3460.5</v>
      </c>
      <c r="C15" s="20">
        <v>3787.8</v>
      </c>
      <c r="D15" s="20">
        <v>3888.6</v>
      </c>
      <c r="E15" s="20">
        <v>3957.6</v>
      </c>
      <c r="F15" s="20">
        <v>4182.3</v>
      </c>
      <c r="G15" s="20">
        <v>4530.8999999999996</v>
      </c>
      <c r="H15" s="21">
        <v>4703.7</v>
      </c>
      <c r="I15" s="21">
        <v>4873.8</v>
      </c>
      <c r="J15" s="21">
        <v>5082</v>
      </c>
      <c r="K15" s="21">
        <v>5244.6</v>
      </c>
      <c r="L15" s="21">
        <v>5391.9</v>
      </c>
      <c r="M15" s="21">
        <v>5568.3</v>
      </c>
      <c r="N15" s="21">
        <v>5684.1</v>
      </c>
      <c r="O15" s="21">
        <v>5775.9</v>
      </c>
      <c r="P15" s="21">
        <v>5775.9</v>
      </c>
      <c r="Q15" s="21">
        <v>5775.9</v>
      </c>
      <c r="R15" s="21">
        <v>5775.9</v>
      </c>
      <c r="S15" s="21">
        <v>5775.9</v>
      </c>
      <c r="T15" s="21">
        <v>5775.9</v>
      </c>
      <c r="U15" s="21">
        <v>5775.9</v>
      </c>
      <c r="V15" s="21">
        <v>5775.9</v>
      </c>
      <c r="W15" s="21">
        <v>5775.9</v>
      </c>
    </row>
    <row r="16" spans="1:23" ht="15.75" thickBot="1" x14ac:dyDescent="0.3">
      <c r="A16" s="13" t="s">
        <v>39</v>
      </c>
      <c r="B16" s="20">
        <v>3037.5</v>
      </c>
      <c r="C16" s="20">
        <v>3364.5</v>
      </c>
      <c r="D16" s="20">
        <v>3452.4</v>
      </c>
      <c r="E16" s="20">
        <v>3638.1</v>
      </c>
      <c r="F16" s="20">
        <v>3857.7</v>
      </c>
      <c r="G16" s="20">
        <v>4181.7</v>
      </c>
      <c r="H16" s="21">
        <v>4332.6000000000004</v>
      </c>
      <c r="I16" s="21">
        <v>4543.8</v>
      </c>
      <c r="J16" s="21">
        <v>4751.7</v>
      </c>
      <c r="K16" s="21">
        <v>4915.5</v>
      </c>
      <c r="L16" s="21">
        <v>5065.8</v>
      </c>
      <c r="M16" s="21">
        <v>5248.8</v>
      </c>
      <c r="N16" s="21">
        <v>5248.8</v>
      </c>
      <c r="O16" s="21">
        <v>5248.8</v>
      </c>
      <c r="P16" s="21">
        <v>5248.8</v>
      </c>
      <c r="Q16" s="21">
        <v>5248.8</v>
      </c>
      <c r="R16" s="21">
        <v>5248.8</v>
      </c>
      <c r="S16" s="21">
        <v>5248.8</v>
      </c>
      <c r="T16" s="21">
        <v>5248.8</v>
      </c>
      <c r="U16" s="21">
        <v>5248.8</v>
      </c>
      <c r="V16" s="21">
        <v>5248.8</v>
      </c>
      <c r="W16" s="21">
        <v>5248.8</v>
      </c>
    </row>
    <row r="17" spans="1:23" ht="15.75" thickBot="1" x14ac:dyDescent="0.3">
      <c r="A17" s="13" t="s">
        <v>40</v>
      </c>
      <c r="B17" s="21">
        <v>5173.8</v>
      </c>
      <c r="C17" s="21">
        <v>5173.8</v>
      </c>
      <c r="D17" s="21">
        <v>5173.8</v>
      </c>
      <c r="E17" s="21">
        <v>5173.8</v>
      </c>
      <c r="F17" s="21">
        <v>5173.8</v>
      </c>
      <c r="G17" s="21">
        <v>5173.8</v>
      </c>
      <c r="H17" s="21">
        <v>5173.8</v>
      </c>
      <c r="I17" s="21">
        <v>5290.8</v>
      </c>
      <c r="J17" s="21">
        <v>5439</v>
      </c>
      <c r="K17" s="21">
        <v>5612.4</v>
      </c>
      <c r="L17" s="21">
        <v>5788.2</v>
      </c>
      <c r="M17" s="21">
        <v>6068.7</v>
      </c>
      <c r="N17" s="21">
        <v>6306.6</v>
      </c>
      <c r="O17" s="21">
        <v>6556.2</v>
      </c>
      <c r="P17" s="21">
        <v>6939</v>
      </c>
      <c r="Q17" s="21">
        <v>6939</v>
      </c>
      <c r="R17" s="21">
        <v>7285.5</v>
      </c>
      <c r="S17" s="21">
        <v>7285.5</v>
      </c>
      <c r="T17" s="21">
        <v>7650</v>
      </c>
      <c r="U17" s="21">
        <v>7650</v>
      </c>
      <c r="V17" s="21">
        <v>8033.1</v>
      </c>
      <c r="W17" s="21">
        <v>8033.1</v>
      </c>
    </row>
    <row r="18" spans="1:23" ht="15.75" thickBot="1" x14ac:dyDescent="0.3">
      <c r="A18" s="13" t="s">
        <v>41</v>
      </c>
      <c r="B18" s="21">
        <v>4235.3999999999996</v>
      </c>
      <c r="C18" s="21">
        <v>4235.3999999999996</v>
      </c>
      <c r="D18" s="21">
        <v>4235.3999999999996</v>
      </c>
      <c r="E18" s="21">
        <v>4235.3999999999996</v>
      </c>
      <c r="F18" s="21">
        <v>4235.3999999999996</v>
      </c>
      <c r="G18" s="21">
        <v>4235.3999999999996</v>
      </c>
      <c r="H18" s="21">
        <v>4422.6000000000004</v>
      </c>
      <c r="I18" s="21">
        <v>4538.7</v>
      </c>
      <c r="J18" s="21">
        <v>4677.3</v>
      </c>
      <c r="K18" s="21">
        <v>4828.2</v>
      </c>
      <c r="L18" s="21">
        <v>5099.7</v>
      </c>
      <c r="M18" s="21">
        <v>5237.3999999999996</v>
      </c>
      <c r="N18" s="21">
        <v>5471.7</v>
      </c>
      <c r="O18" s="21">
        <v>5601.9</v>
      </c>
      <c r="P18" s="21">
        <v>5921.7</v>
      </c>
      <c r="Q18" s="21">
        <v>5921.7</v>
      </c>
      <c r="R18" s="21">
        <v>6040.5</v>
      </c>
      <c r="S18" s="21">
        <v>6040.5</v>
      </c>
      <c r="T18" s="21">
        <v>6040.5</v>
      </c>
      <c r="U18" s="21">
        <v>6040.5</v>
      </c>
      <c r="V18" s="21">
        <v>6040.5</v>
      </c>
      <c r="W18" s="21">
        <v>6040.5</v>
      </c>
    </row>
    <row r="19" spans="1:23" ht="15.75" thickBot="1" x14ac:dyDescent="0.3">
      <c r="A19" s="13" t="s">
        <v>42</v>
      </c>
      <c r="B19" s="21">
        <v>2944.2</v>
      </c>
      <c r="C19" s="21">
        <v>3213.3</v>
      </c>
      <c r="D19" s="21">
        <v>3336.6</v>
      </c>
      <c r="E19" s="21">
        <v>3499.2</v>
      </c>
      <c r="F19" s="21">
        <v>3626.7</v>
      </c>
      <c r="G19" s="21">
        <v>3845.1</v>
      </c>
      <c r="H19" s="21">
        <v>3968.4</v>
      </c>
      <c r="I19" s="21">
        <v>4186.8</v>
      </c>
      <c r="J19" s="21">
        <v>4368.8999999999996</v>
      </c>
      <c r="K19" s="21">
        <v>4493.1000000000004</v>
      </c>
      <c r="L19" s="21">
        <v>4625.1000000000004</v>
      </c>
      <c r="M19" s="21">
        <v>4676.1000000000004</v>
      </c>
      <c r="N19" s="21">
        <v>4848.3</v>
      </c>
      <c r="O19" s="21">
        <v>4940.3999999999996</v>
      </c>
      <c r="P19" s="21">
        <v>5291.4</v>
      </c>
      <c r="Q19" s="21">
        <v>5291.4</v>
      </c>
      <c r="R19" s="21">
        <v>5291.4</v>
      </c>
      <c r="S19" s="21">
        <v>5291.4</v>
      </c>
      <c r="T19" s="21">
        <v>5291.4</v>
      </c>
      <c r="U19" s="21">
        <v>5291.4</v>
      </c>
      <c r="V19" s="21">
        <v>5291.4</v>
      </c>
      <c r="W19" s="21">
        <v>5291.4</v>
      </c>
    </row>
    <row r="20" spans="1:23" ht="15.75" thickBot="1" x14ac:dyDescent="0.3">
      <c r="A20" s="13" t="s">
        <v>43</v>
      </c>
      <c r="B20" s="21">
        <v>2546.4</v>
      </c>
      <c r="C20" s="21">
        <v>2802.3</v>
      </c>
      <c r="D20" s="21">
        <v>2925.9</v>
      </c>
      <c r="E20" s="21">
        <v>3046.2</v>
      </c>
      <c r="F20" s="21">
        <v>3171.6</v>
      </c>
      <c r="G20" s="21">
        <v>3453.6</v>
      </c>
      <c r="H20" s="21">
        <v>3563.7</v>
      </c>
      <c r="I20" s="21">
        <v>3776.7</v>
      </c>
      <c r="J20" s="21">
        <v>3841.5</v>
      </c>
      <c r="K20" s="21">
        <v>3888.9</v>
      </c>
      <c r="L20" s="21">
        <v>3944.1</v>
      </c>
      <c r="M20" s="21">
        <v>3944.1</v>
      </c>
      <c r="N20" s="21">
        <v>3944.1</v>
      </c>
      <c r="O20" s="21">
        <v>3944.1</v>
      </c>
      <c r="P20" s="21">
        <v>3944.1</v>
      </c>
      <c r="Q20" s="21">
        <v>3944.1</v>
      </c>
      <c r="R20" s="21">
        <v>3944.1</v>
      </c>
      <c r="S20" s="21">
        <v>3944.1</v>
      </c>
      <c r="T20" s="21">
        <v>3944.1</v>
      </c>
      <c r="U20" s="21">
        <v>3944.1</v>
      </c>
      <c r="V20" s="21">
        <v>3944.1</v>
      </c>
      <c r="W20" s="21">
        <v>3944.1</v>
      </c>
    </row>
    <row r="21" spans="1:23" ht="15.75" thickBot="1" x14ac:dyDescent="0.3">
      <c r="A21" s="13" t="s">
        <v>44</v>
      </c>
      <c r="B21" s="21">
        <v>2332.8000000000002</v>
      </c>
      <c r="C21" s="21">
        <v>2490</v>
      </c>
      <c r="D21" s="21">
        <v>2610.3000000000002</v>
      </c>
      <c r="E21" s="21">
        <v>2733.3</v>
      </c>
      <c r="F21" s="21">
        <v>2925.3</v>
      </c>
      <c r="G21" s="21">
        <v>3125.7</v>
      </c>
      <c r="H21" s="21">
        <v>3290.7</v>
      </c>
      <c r="I21" s="21">
        <v>3310.5</v>
      </c>
      <c r="J21" s="21">
        <v>3310.5</v>
      </c>
      <c r="K21" s="21">
        <v>3310.5</v>
      </c>
      <c r="L21" s="21">
        <v>3310.5</v>
      </c>
      <c r="M21" s="21">
        <v>3310.5</v>
      </c>
      <c r="N21" s="21">
        <v>3310.5</v>
      </c>
      <c r="O21" s="21">
        <v>3310.5</v>
      </c>
      <c r="P21" s="21">
        <v>3310.5</v>
      </c>
      <c r="Q21" s="21">
        <v>3310.5</v>
      </c>
      <c r="R21" s="21">
        <v>3310.5</v>
      </c>
      <c r="S21" s="21">
        <v>3310.5</v>
      </c>
      <c r="T21" s="21">
        <v>3310.5</v>
      </c>
      <c r="U21" s="21">
        <v>3310.5</v>
      </c>
      <c r="V21" s="21">
        <v>3310.5</v>
      </c>
      <c r="W21" s="21">
        <v>3310.5</v>
      </c>
    </row>
    <row r="22" spans="1:23" ht="15.75" thickBot="1" x14ac:dyDescent="0.3">
      <c r="A22" s="13" t="s">
        <v>45</v>
      </c>
      <c r="B22" s="21">
        <v>2139</v>
      </c>
      <c r="C22" s="21">
        <v>2248.5</v>
      </c>
      <c r="D22" s="21">
        <v>2370.3000000000002</v>
      </c>
      <c r="E22" s="21">
        <v>2490.6</v>
      </c>
      <c r="F22" s="21">
        <v>2596.5</v>
      </c>
      <c r="G22" s="21">
        <v>2596.5</v>
      </c>
      <c r="H22" s="21">
        <v>2596.5</v>
      </c>
      <c r="I22" s="21">
        <v>2596.5</v>
      </c>
      <c r="J22" s="21">
        <v>2596.5</v>
      </c>
      <c r="K22" s="21">
        <v>2596.5</v>
      </c>
      <c r="L22" s="21">
        <v>2596.5</v>
      </c>
      <c r="M22" s="21">
        <v>2596.5</v>
      </c>
      <c r="N22" s="21">
        <v>2596.5</v>
      </c>
      <c r="O22" s="21">
        <v>2596.5</v>
      </c>
      <c r="P22" s="21">
        <v>2596.5</v>
      </c>
      <c r="Q22" s="21">
        <v>2596.5</v>
      </c>
      <c r="R22" s="21">
        <v>2596.5</v>
      </c>
      <c r="S22" s="21">
        <v>2596.5</v>
      </c>
      <c r="T22" s="21">
        <v>2596.5</v>
      </c>
      <c r="U22" s="21">
        <v>2596.5</v>
      </c>
      <c r="V22" s="21">
        <v>2596.5</v>
      </c>
      <c r="W22" s="21">
        <v>2596.5</v>
      </c>
    </row>
    <row r="23" spans="1:23" ht="15.75" thickBot="1" x14ac:dyDescent="0.3">
      <c r="A23" s="13" t="s">
        <v>46</v>
      </c>
      <c r="B23" s="21">
        <v>1931.1</v>
      </c>
      <c r="C23" s="21">
        <v>2052.3000000000002</v>
      </c>
      <c r="D23" s="21">
        <v>2176.8000000000002</v>
      </c>
      <c r="E23" s="21">
        <v>2176.8000000000002</v>
      </c>
      <c r="F23" s="21">
        <v>2176.8000000000002</v>
      </c>
      <c r="G23" s="21">
        <v>2176.8000000000002</v>
      </c>
      <c r="H23" s="21">
        <v>2176.8000000000002</v>
      </c>
      <c r="I23" s="21">
        <v>2176.8000000000002</v>
      </c>
      <c r="J23" s="21">
        <v>2176.8000000000002</v>
      </c>
      <c r="K23" s="21">
        <v>2176.8000000000002</v>
      </c>
      <c r="L23" s="21">
        <v>2176.8000000000002</v>
      </c>
      <c r="M23" s="21">
        <v>2176.8000000000002</v>
      </c>
      <c r="N23" s="21">
        <v>2176.8000000000002</v>
      </c>
      <c r="O23" s="21">
        <v>2176.8000000000002</v>
      </c>
      <c r="P23" s="21">
        <v>2176.8000000000002</v>
      </c>
      <c r="Q23" s="21">
        <v>2176.8000000000002</v>
      </c>
      <c r="R23" s="21">
        <v>2176.8000000000002</v>
      </c>
      <c r="S23" s="21">
        <v>2176.8000000000002</v>
      </c>
      <c r="T23" s="21">
        <v>2176.8000000000002</v>
      </c>
      <c r="U23" s="21">
        <v>2176.8000000000002</v>
      </c>
      <c r="V23" s="21">
        <v>2176.8000000000002</v>
      </c>
      <c r="W23" s="21">
        <v>2176.8000000000002</v>
      </c>
    </row>
    <row r="24" spans="1:23" ht="15.75" thickBot="1" x14ac:dyDescent="0.3">
      <c r="A24" s="13" t="s">
        <v>47</v>
      </c>
      <c r="B24" s="21">
        <v>1836.3</v>
      </c>
      <c r="C24" s="21">
        <v>1836.3</v>
      </c>
      <c r="D24" s="21">
        <v>1836.3</v>
      </c>
      <c r="E24" s="21">
        <v>1836.3</v>
      </c>
      <c r="F24" s="21">
        <v>1836.3</v>
      </c>
      <c r="G24" s="21">
        <v>1836.3</v>
      </c>
      <c r="H24" s="21">
        <v>1836.3</v>
      </c>
      <c r="I24" s="21">
        <v>1836.3</v>
      </c>
      <c r="J24" s="21">
        <v>1836.3</v>
      </c>
      <c r="K24" s="21">
        <v>1836.3</v>
      </c>
      <c r="L24" s="21">
        <v>1836.3</v>
      </c>
      <c r="M24" s="21">
        <v>1836.3</v>
      </c>
      <c r="N24" s="21">
        <v>1836.3</v>
      </c>
      <c r="O24" s="21">
        <v>1836.3</v>
      </c>
      <c r="P24" s="21">
        <v>1836.3</v>
      </c>
      <c r="Q24" s="21">
        <v>1836.3</v>
      </c>
      <c r="R24" s="21">
        <v>1836.3</v>
      </c>
      <c r="S24" s="21">
        <v>1836.3</v>
      </c>
      <c r="T24" s="21">
        <v>1836.3</v>
      </c>
      <c r="U24" s="21">
        <v>1836.3</v>
      </c>
      <c r="V24" s="21">
        <v>1836.3</v>
      </c>
      <c r="W24" s="21">
        <v>1836.3</v>
      </c>
    </row>
    <row r="25" spans="1:23" ht="15.75" thickBot="1" x14ac:dyDescent="0.3">
      <c r="A25" s="13" t="s">
        <v>56</v>
      </c>
      <c r="B25" s="21">
        <v>1638.3</v>
      </c>
      <c r="C25" s="21">
        <v>1638.3</v>
      </c>
      <c r="D25" s="21">
        <v>1638.3</v>
      </c>
      <c r="E25" s="21">
        <v>1638.3</v>
      </c>
      <c r="F25" s="21">
        <v>1638.3</v>
      </c>
      <c r="G25" s="21">
        <v>1638.3</v>
      </c>
      <c r="H25" s="21">
        <v>1638.3</v>
      </c>
      <c r="I25" s="21">
        <v>1638.3</v>
      </c>
      <c r="J25" s="21">
        <v>1638.3</v>
      </c>
      <c r="K25" s="21">
        <v>1638.3</v>
      </c>
      <c r="L25" s="21">
        <v>1638.3</v>
      </c>
      <c r="M25" s="21">
        <v>1638.3</v>
      </c>
      <c r="N25" s="21">
        <v>1638.3</v>
      </c>
      <c r="O25" s="21">
        <v>1638.3</v>
      </c>
      <c r="P25" s="21">
        <v>1638.3</v>
      </c>
      <c r="Q25" s="21">
        <v>1638.3</v>
      </c>
      <c r="R25" s="21">
        <v>1638.3</v>
      </c>
      <c r="S25" s="21">
        <v>1638.3</v>
      </c>
      <c r="T25" s="21">
        <v>1638.3</v>
      </c>
      <c r="U25" s="21">
        <v>1638.3</v>
      </c>
      <c r="V25" s="21">
        <v>1638.3</v>
      </c>
      <c r="W25" s="21">
        <v>1638.3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1C28E-F5A5-435B-B53A-99CFB183F49E}">
  <sheetPr codeName="Sheet7">
    <tabColor rgb="FF0070C0"/>
  </sheetPr>
  <dimension ref="A1:W25"/>
  <sheetViews>
    <sheetView workbookViewId="0">
      <selection activeCell="M34" sqref="M34"/>
    </sheetView>
  </sheetViews>
  <sheetFormatPr defaultColWidth="9.140625" defaultRowHeight="15" x14ac:dyDescent="0.25"/>
  <cols>
    <col min="1" max="1" width="18.28515625" bestFit="1" customWidth="1"/>
  </cols>
  <sheetData>
    <row r="1" spans="1:23" x14ac:dyDescent="0.25">
      <c r="A1" s="11"/>
      <c r="B1" s="11">
        <v>0</v>
      </c>
      <c r="C1" s="11">
        <v>2</v>
      </c>
      <c r="D1" s="11">
        <v>3</v>
      </c>
      <c r="E1" s="11">
        <v>4</v>
      </c>
      <c r="F1" s="11">
        <v>6</v>
      </c>
      <c r="G1" s="11">
        <v>8</v>
      </c>
      <c r="H1" s="11">
        <v>10</v>
      </c>
      <c r="I1" s="11">
        <v>12</v>
      </c>
      <c r="J1" s="11">
        <v>14</v>
      </c>
      <c r="K1" s="11">
        <v>16</v>
      </c>
      <c r="L1" s="11">
        <v>18</v>
      </c>
      <c r="M1" s="11">
        <v>20</v>
      </c>
      <c r="N1" s="11">
        <v>22</v>
      </c>
      <c r="O1" s="11">
        <v>24</v>
      </c>
      <c r="P1" s="11">
        <v>26</v>
      </c>
      <c r="Q1" s="11">
        <v>28</v>
      </c>
      <c r="R1" s="11">
        <v>30</v>
      </c>
      <c r="S1" s="11">
        <v>32</v>
      </c>
      <c r="T1" s="11">
        <v>34</v>
      </c>
      <c r="U1" s="11">
        <v>36</v>
      </c>
      <c r="V1" s="11">
        <v>38</v>
      </c>
      <c r="W1" s="11">
        <v>40</v>
      </c>
    </row>
    <row r="2" spans="1:23" x14ac:dyDescent="0.25">
      <c r="A2" s="11" t="s">
        <v>48</v>
      </c>
      <c r="B2" s="15">
        <v>15583.2</v>
      </c>
      <c r="C2" s="15">
        <v>15583.2</v>
      </c>
      <c r="D2" s="15">
        <v>15583.2</v>
      </c>
      <c r="E2" s="15">
        <v>15583.2</v>
      </c>
      <c r="F2" s="15">
        <v>15583.2</v>
      </c>
      <c r="G2" s="15">
        <v>15583.2</v>
      </c>
      <c r="H2" s="15">
        <v>15583.2</v>
      </c>
      <c r="I2" s="15">
        <v>15583.2</v>
      </c>
      <c r="J2" s="15">
        <v>15583.2</v>
      </c>
      <c r="K2" s="15">
        <v>15583.2</v>
      </c>
      <c r="L2" s="15">
        <v>15583.2</v>
      </c>
      <c r="M2" s="15">
        <v>15583.2</v>
      </c>
      <c r="N2" s="17">
        <v>15583.2</v>
      </c>
      <c r="O2" s="17">
        <v>15583.2</v>
      </c>
      <c r="P2" s="17">
        <v>15583.2</v>
      </c>
      <c r="Q2" s="17">
        <v>15583.2</v>
      </c>
      <c r="R2" s="17">
        <v>15583.2</v>
      </c>
      <c r="S2" s="17">
        <v>15583.2</v>
      </c>
      <c r="T2" s="17">
        <v>15583.2</v>
      </c>
      <c r="U2" s="17">
        <v>15583.2</v>
      </c>
      <c r="V2" s="17">
        <v>15583.2</v>
      </c>
      <c r="W2" s="17">
        <v>15583.2</v>
      </c>
    </row>
    <row r="3" spans="1:23" x14ac:dyDescent="0.25">
      <c r="A3" s="11" t="s">
        <v>49</v>
      </c>
      <c r="B3" s="15">
        <v>14352</v>
      </c>
      <c r="C3" s="15">
        <v>14352</v>
      </c>
      <c r="D3" s="15">
        <v>14352</v>
      </c>
      <c r="E3" s="15">
        <v>14352</v>
      </c>
      <c r="F3" s="15">
        <v>14352</v>
      </c>
      <c r="G3" s="15">
        <v>14352</v>
      </c>
      <c r="H3" s="15">
        <v>14352</v>
      </c>
      <c r="I3" s="15">
        <v>14352</v>
      </c>
      <c r="J3" s="15">
        <v>14352</v>
      </c>
      <c r="K3" s="15">
        <v>14352</v>
      </c>
      <c r="L3" s="15">
        <v>14352</v>
      </c>
      <c r="M3" s="15">
        <v>14352</v>
      </c>
      <c r="N3" s="17">
        <v>14559.3</v>
      </c>
      <c r="O3" s="17">
        <v>14857.8</v>
      </c>
      <c r="P3" s="17">
        <v>15378.6</v>
      </c>
      <c r="Q3" s="17">
        <v>15378.6</v>
      </c>
      <c r="R3" s="17">
        <v>15583.2</v>
      </c>
      <c r="S3" s="17">
        <v>15583.2</v>
      </c>
      <c r="T3" s="17">
        <v>15583.2</v>
      </c>
      <c r="U3" s="17">
        <v>15583.2</v>
      </c>
      <c r="V3" s="17">
        <v>15583.2</v>
      </c>
      <c r="W3" s="17">
        <v>15583.2</v>
      </c>
    </row>
    <row r="4" spans="1:23" x14ac:dyDescent="0.25">
      <c r="A4" s="11" t="s">
        <v>50</v>
      </c>
      <c r="B4" s="17">
        <v>10155</v>
      </c>
      <c r="C4" s="17">
        <v>10487.7</v>
      </c>
      <c r="D4" s="17">
        <v>10708.5</v>
      </c>
      <c r="E4" s="17">
        <v>10770</v>
      </c>
      <c r="F4" s="17">
        <v>11045.7</v>
      </c>
      <c r="G4" s="17">
        <v>11505.9</v>
      </c>
      <c r="H4" s="17">
        <v>11612.7</v>
      </c>
      <c r="I4" s="17">
        <v>12049.8</v>
      </c>
      <c r="J4" s="17">
        <v>12175.2</v>
      </c>
      <c r="K4" s="17">
        <v>12551.7</v>
      </c>
      <c r="L4" s="17">
        <v>13096.5</v>
      </c>
      <c r="M4" s="17">
        <v>13598.7</v>
      </c>
      <c r="N4" s="17">
        <v>13933.8</v>
      </c>
      <c r="O4" s="17">
        <v>13933.8</v>
      </c>
      <c r="P4" s="17">
        <v>13933.8</v>
      </c>
      <c r="Q4" s="17">
        <v>13933.8</v>
      </c>
      <c r="R4" s="17">
        <v>14282.7</v>
      </c>
      <c r="S4" s="17">
        <v>14282.7</v>
      </c>
      <c r="T4" s="16">
        <v>14639.7</v>
      </c>
      <c r="U4" s="16">
        <v>14639.7</v>
      </c>
      <c r="V4" s="15">
        <v>14639.7</v>
      </c>
      <c r="W4" s="15">
        <v>14639.7</v>
      </c>
    </row>
    <row r="5" spans="1:23" x14ac:dyDescent="0.25">
      <c r="A5" s="11" t="s">
        <v>51</v>
      </c>
      <c r="B5" s="17">
        <v>8438.1</v>
      </c>
      <c r="C5" s="17">
        <v>8829.9</v>
      </c>
      <c r="D5" s="17">
        <v>9011.4</v>
      </c>
      <c r="E5" s="17">
        <v>9155.7000000000007</v>
      </c>
      <c r="F5" s="17">
        <v>9416.7000000000007</v>
      </c>
      <c r="G5" s="17">
        <v>9674.7000000000007</v>
      </c>
      <c r="H5" s="17">
        <v>9972.9</v>
      </c>
      <c r="I5" s="17">
        <v>10270.200000000001</v>
      </c>
      <c r="J5" s="17">
        <v>10568.7</v>
      </c>
      <c r="K5" s="17">
        <v>11505.9</v>
      </c>
      <c r="L5" s="17">
        <v>12296.7</v>
      </c>
      <c r="M5" s="17">
        <v>12296.7</v>
      </c>
      <c r="N5" s="17">
        <v>12296.7</v>
      </c>
      <c r="O5" s="17">
        <v>12296.7</v>
      </c>
      <c r="P5" s="17">
        <v>12359.7</v>
      </c>
      <c r="Q5" s="17">
        <v>12359.7</v>
      </c>
      <c r="R5" s="17">
        <v>12606.9</v>
      </c>
      <c r="S5" s="17">
        <v>12606.9</v>
      </c>
      <c r="T5" s="16">
        <v>12606.9</v>
      </c>
      <c r="U5" s="16">
        <v>12606.9</v>
      </c>
      <c r="V5" s="15">
        <v>12606.9</v>
      </c>
      <c r="W5" s="15">
        <v>12606.9</v>
      </c>
    </row>
    <row r="6" spans="1:23" x14ac:dyDescent="0.25">
      <c r="A6" s="11" t="s">
        <v>52</v>
      </c>
      <c r="B6" s="17">
        <v>6398.7</v>
      </c>
      <c r="C6" s="17">
        <v>7029.9</v>
      </c>
      <c r="D6" s="17">
        <v>7491.3</v>
      </c>
      <c r="E6" s="17">
        <v>7491.3</v>
      </c>
      <c r="F6" s="17">
        <v>7519.8</v>
      </c>
      <c r="G6" s="17">
        <v>7842.3</v>
      </c>
      <c r="H6" s="17">
        <v>7884.6</v>
      </c>
      <c r="I6" s="17">
        <v>7884.6</v>
      </c>
      <c r="J6" s="17">
        <v>8332.5</v>
      </c>
      <c r="K6" s="17">
        <v>9124.7999999999993</v>
      </c>
      <c r="L6" s="17">
        <v>9589.7999999999993</v>
      </c>
      <c r="M6" s="17">
        <v>10054.5</v>
      </c>
      <c r="N6" s="17">
        <v>10318.799999999999</v>
      </c>
      <c r="O6" s="17">
        <v>10587</v>
      </c>
      <c r="P6" s="17">
        <v>11106</v>
      </c>
      <c r="Q6" s="17">
        <v>11106</v>
      </c>
      <c r="R6" s="17">
        <v>11328</v>
      </c>
      <c r="S6" s="17">
        <v>11328</v>
      </c>
      <c r="T6" s="16">
        <v>11328</v>
      </c>
      <c r="U6" s="16">
        <v>11328</v>
      </c>
      <c r="V6" s="15">
        <v>11328</v>
      </c>
      <c r="W6" s="15">
        <v>11328</v>
      </c>
    </row>
    <row r="7" spans="1:23" x14ac:dyDescent="0.25">
      <c r="A7" s="11" t="s">
        <v>33</v>
      </c>
      <c r="B7" s="17">
        <v>5334.3</v>
      </c>
      <c r="C7" s="17">
        <v>6009.3</v>
      </c>
      <c r="D7" s="17">
        <v>6424.8</v>
      </c>
      <c r="E7" s="17">
        <v>6503.4</v>
      </c>
      <c r="F7" s="17">
        <v>6763.2</v>
      </c>
      <c r="G7" s="17">
        <v>6918.3</v>
      </c>
      <c r="H7" s="17">
        <v>7259.7</v>
      </c>
      <c r="I7" s="17">
        <v>7510.5</v>
      </c>
      <c r="J7" s="17">
        <v>7834.2</v>
      </c>
      <c r="K7" s="17">
        <v>8329.7999999999993</v>
      </c>
      <c r="L7" s="17">
        <v>8565</v>
      </c>
      <c r="M7" s="17">
        <v>8798.1</v>
      </c>
      <c r="N7" s="17">
        <v>9062.7000000000007</v>
      </c>
      <c r="O7" s="17">
        <v>9062.7000000000007</v>
      </c>
      <c r="P7" s="17">
        <v>9062.7000000000007</v>
      </c>
      <c r="Q7" s="17">
        <v>9062.7000000000007</v>
      </c>
      <c r="R7" s="17">
        <v>9062.7000000000007</v>
      </c>
      <c r="S7" s="17">
        <v>9062.7000000000007</v>
      </c>
      <c r="T7" s="17">
        <v>9062.7000000000007</v>
      </c>
      <c r="U7" s="17">
        <v>9062.7000000000007</v>
      </c>
      <c r="V7" s="16">
        <v>9062.7000000000007</v>
      </c>
      <c r="W7" s="15">
        <v>9062.7000000000007</v>
      </c>
    </row>
    <row r="8" spans="1:23" x14ac:dyDescent="0.25">
      <c r="A8" s="11" t="s">
        <v>34</v>
      </c>
      <c r="B8" s="17">
        <v>4602.6000000000004</v>
      </c>
      <c r="C8" s="17">
        <v>5327.7</v>
      </c>
      <c r="D8" s="17">
        <v>5683.5</v>
      </c>
      <c r="E8" s="17">
        <v>5762.4</v>
      </c>
      <c r="F8" s="17">
        <v>6092.4</v>
      </c>
      <c r="G8" s="17">
        <v>6446.4</v>
      </c>
      <c r="H8" s="17">
        <v>6887.4</v>
      </c>
      <c r="I8" s="17">
        <v>7230.3</v>
      </c>
      <c r="J8" s="17">
        <v>7468.5</v>
      </c>
      <c r="K8" s="17">
        <v>7605.6</v>
      </c>
      <c r="L8" s="17">
        <v>7684.8</v>
      </c>
      <c r="M8" s="17">
        <v>7684.8</v>
      </c>
      <c r="N8" s="17">
        <v>7684.8</v>
      </c>
      <c r="O8" s="17">
        <v>7684.8</v>
      </c>
      <c r="P8" s="17">
        <v>7684.8</v>
      </c>
      <c r="Q8" s="17">
        <v>7684.8</v>
      </c>
      <c r="R8" s="17">
        <v>7684.8</v>
      </c>
      <c r="S8" s="17">
        <v>7684.8</v>
      </c>
      <c r="T8" s="17">
        <v>7684.8</v>
      </c>
      <c r="U8" s="17">
        <v>7684.8</v>
      </c>
      <c r="V8" s="16">
        <v>7684.8</v>
      </c>
      <c r="W8" s="15">
        <v>7684.8</v>
      </c>
    </row>
    <row r="9" spans="1:23" x14ac:dyDescent="0.25">
      <c r="A9" s="11" t="s">
        <v>53</v>
      </c>
      <c r="B9" s="17">
        <v>4046.7</v>
      </c>
      <c r="C9" s="17">
        <v>4587</v>
      </c>
      <c r="D9" s="17">
        <v>4950.8999999999996</v>
      </c>
      <c r="E9" s="17">
        <v>5398.2</v>
      </c>
      <c r="F9" s="17">
        <v>5657.1</v>
      </c>
      <c r="G9" s="17">
        <v>5940.9</v>
      </c>
      <c r="H9" s="17">
        <v>6124.2</v>
      </c>
      <c r="I9" s="17">
        <v>6426</v>
      </c>
      <c r="J9" s="17">
        <v>6583.5</v>
      </c>
      <c r="K9" s="17">
        <v>6583.5</v>
      </c>
      <c r="L9" s="17">
        <v>6583.5</v>
      </c>
      <c r="M9" s="17">
        <v>6583.5</v>
      </c>
      <c r="N9" s="17">
        <v>6583.5</v>
      </c>
      <c r="O9" s="17">
        <v>6583.5</v>
      </c>
      <c r="P9" s="17">
        <v>6583.5</v>
      </c>
      <c r="Q9" s="17">
        <v>6583.5</v>
      </c>
      <c r="R9" s="17">
        <v>6583.5</v>
      </c>
      <c r="S9" s="17">
        <v>6583.5</v>
      </c>
      <c r="T9" s="17">
        <v>6583.5</v>
      </c>
      <c r="U9" s="17">
        <v>6583.5</v>
      </c>
      <c r="V9" s="16">
        <v>6583.5</v>
      </c>
      <c r="W9" s="15">
        <v>6583.5</v>
      </c>
    </row>
    <row r="10" spans="1:23" x14ac:dyDescent="0.25">
      <c r="A10" s="11" t="s">
        <v>54</v>
      </c>
      <c r="B10" s="17">
        <v>3496.5</v>
      </c>
      <c r="C10" s="17">
        <v>3982.2</v>
      </c>
      <c r="D10" s="17">
        <v>4586.1000000000004</v>
      </c>
      <c r="E10" s="17">
        <v>4741.2</v>
      </c>
      <c r="F10" s="17">
        <v>4839</v>
      </c>
      <c r="G10" s="17">
        <v>4839</v>
      </c>
      <c r="H10" s="17">
        <v>4839</v>
      </c>
      <c r="I10" s="17">
        <v>4839</v>
      </c>
      <c r="J10" s="17">
        <v>4839</v>
      </c>
      <c r="K10" s="17">
        <v>4839</v>
      </c>
      <c r="L10" s="17">
        <v>4839</v>
      </c>
      <c r="M10" s="17">
        <v>4839</v>
      </c>
      <c r="N10" s="17">
        <v>4839</v>
      </c>
      <c r="O10" s="17">
        <v>4839</v>
      </c>
      <c r="P10" s="17">
        <v>4839</v>
      </c>
      <c r="Q10" s="17">
        <v>4839</v>
      </c>
      <c r="R10" s="17">
        <v>4839</v>
      </c>
      <c r="S10" s="17">
        <v>4839</v>
      </c>
      <c r="T10" s="17">
        <v>4839</v>
      </c>
      <c r="U10" s="17">
        <v>4839</v>
      </c>
      <c r="V10" s="16">
        <v>4839</v>
      </c>
      <c r="W10" s="15">
        <v>4839</v>
      </c>
    </row>
    <row r="11" spans="1:23" x14ac:dyDescent="0.25">
      <c r="A11" s="11" t="s">
        <v>55</v>
      </c>
      <c r="B11" s="17">
        <v>3034.8</v>
      </c>
      <c r="C11" s="17">
        <v>3159</v>
      </c>
      <c r="D11" s="17">
        <v>3818.7</v>
      </c>
      <c r="E11" s="17">
        <v>3818.7</v>
      </c>
      <c r="F11" s="17">
        <v>3818.7</v>
      </c>
      <c r="G11" s="17">
        <v>3818.7</v>
      </c>
      <c r="H11" s="17">
        <v>3818.7</v>
      </c>
      <c r="I11" s="17">
        <v>3818.7</v>
      </c>
      <c r="J11" s="17">
        <v>3818.7</v>
      </c>
      <c r="K11" s="17">
        <v>3818.7</v>
      </c>
      <c r="L11" s="17">
        <v>3818.7</v>
      </c>
      <c r="M11" s="17">
        <v>3818.7</v>
      </c>
      <c r="N11" s="17">
        <v>3818.7</v>
      </c>
      <c r="O11" s="17">
        <v>3818.7</v>
      </c>
      <c r="P11" s="17">
        <v>3818.7</v>
      </c>
      <c r="Q11" s="17">
        <v>3818.7</v>
      </c>
      <c r="R11" s="17">
        <v>3818.7</v>
      </c>
      <c r="S11" s="17">
        <v>3818.7</v>
      </c>
      <c r="T11" s="17">
        <v>3818.7</v>
      </c>
      <c r="U11" s="17">
        <v>3818.7</v>
      </c>
      <c r="V11" s="16">
        <v>3818.7</v>
      </c>
      <c r="W11" s="15">
        <v>3818.7</v>
      </c>
    </row>
    <row r="12" spans="1:23" x14ac:dyDescent="0.25">
      <c r="A12" s="13" t="s">
        <v>35</v>
      </c>
      <c r="B12" s="15">
        <v>7436.1</v>
      </c>
      <c r="C12" s="15">
        <v>7436.1</v>
      </c>
      <c r="D12" s="15">
        <v>7436.1</v>
      </c>
      <c r="E12" s="15">
        <v>7436.1</v>
      </c>
      <c r="F12" s="15">
        <v>7436.1</v>
      </c>
      <c r="G12" s="15">
        <v>7436.1</v>
      </c>
      <c r="H12" s="15">
        <v>7436.1</v>
      </c>
      <c r="I12" s="15">
        <v>7436.1</v>
      </c>
      <c r="J12" s="15">
        <v>7436.1</v>
      </c>
      <c r="K12" s="15">
        <v>7436.1</v>
      </c>
      <c r="L12" s="15">
        <v>7436.1</v>
      </c>
      <c r="M12" s="15">
        <v>7436.1</v>
      </c>
      <c r="N12" s="18">
        <v>7813.2</v>
      </c>
      <c r="O12" s="18">
        <v>8094</v>
      </c>
      <c r="P12" s="18">
        <v>8405.1</v>
      </c>
      <c r="Q12" s="18">
        <v>8405.1</v>
      </c>
      <c r="R12" s="18">
        <v>8826</v>
      </c>
      <c r="S12" s="18">
        <v>8826</v>
      </c>
      <c r="T12" s="18">
        <v>9266.7000000000007</v>
      </c>
      <c r="U12" s="18">
        <v>9266.7000000000007</v>
      </c>
      <c r="V12" s="18">
        <v>9730.7999999999993</v>
      </c>
      <c r="W12" s="18">
        <v>9730.7999999999993</v>
      </c>
    </row>
    <row r="13" spans="1:23" x14ac:dyDescent="0.25">
      <c r="A13" s="13" t="s">
        <v>36</v>
      </c>
      <c r="B13" s="18">
        <v>4182</v>
      </c>
      <c r="C13" s="18">
        <v>4498.5</v>
      </c>
      <c r="D13" s="18">
        <v>4627.5</v>
      </c>
      <c r="E13" s="18">
        <v>4754.7</v>
      </c>
      <c r="F13" s="18">
        <v>4973.3999999999996</v>
      </c>
      <c r="G13" s="18">
        <v>5190</v>
      </c>
      <c r="H13" s="18">
        <v>5409.3</v>
      </c>
      <c r="I13" s="18">
        <v>5738.7</v>
      </c>
      <c r="J13" s="18">
        <v>6027.9</v>
      </c>
      <c r="K13" s="18">
        <v>6303</v>
      </c>
      <c r="L13" s="18">
        <v>6528.3</v>
      </c>
      <c r="M13" s="18">
        <v>6747.6</v>
      </c>
      <c r="N13" s="18">
        <v>7070.1</v>
      </c>
      <c r="O13" s="18">
        <v>7335</v>
      </c>
      <c r="P13" s="18">
        <v>7637.4</v>
      </c>
      <c r="Q13" s="18">
        <v>7637.4</v>
      </c>
      <c r="R13" s="18">
        <v>7789.8</v>
      </c>
      <c r="S13" s="18">
        <v>7789.8</v>
      </c>
      <c r="T13" s="18">
        <v>7789.8</v>
      </c>
      <c r="U13" s="18">
        <v>7789.8</v>
      </c>
      <c r="V13" s="16">
        <v>7789.8</v>
      </c>
      <c r="W13" s="15">
        <v>7789.8</v>
      </c>
    </row>
    <row r="14" spans="1:23" x14ac:dyDescent="0.25">
      <c r="A14" s="13" t="s">
        <v>37</v>
      </c>
      <c r="B14" s="18">
        <v>3819</v>
      </c>
      <c r="C14" s="18">
        <v>3978.3</v>
      </c>
      <c r="D14" s="18">
        <v>4141.5</v>
      </c>
      <c r="E14" s="18">
        <v>4195.2</v>
      </c>
      <c r="F14" s="18">
        <v>4365.8999999999996</v>
      </c>
      <c r="G14" s="18">
        <v>4702.5</v>
      </c>
      <c r="H14" s="18">
        <v>5052.8999999999996</v>
      </c>
      <c r="I14" s="18">
        <v>5218.2</v>
      </c>
      <c r="J14" s="18">
        <v>5409</v>
      </c>
      <c r="K14" s="18">
        <v>5605.5</v>
      </c>
      <c r="L14" s="18">
        <v>5959.2</v>
      </c>
      <c r="M14" s="18">
        <v>6198</v>
      </c>
      <c r="N14" s="18">
        <v>6340.8</v>
      </c>
      <c r="O14" s="18">
        <v>6492.6</v>
      </c>
      <c r="P14" s="18">
        <v>6699.3</v>
      </c>
      <c r="Q14" s="18">
        <v>6699.3</v>
      </c>
      <c r="R14" s="18">
        <v>6699.3</v>
      </c>
      <c r="S14" s="18">
        <v>6699.3</v>
      </c>
      <c r="T14" s="18">
        <v>6699.3</v>
      </c>
      <c r="U14" s="18">
        <v>6699.3</v>
      </c>
      <c r="V14" s="16">
        <v>6699.3</v>
      </c>
      <c r="W14" s="15">
        <v>6699.3</v>
      </c>
    </row>
    <row r="15" spans="1:23" x14ac:dyDescent="0.25">
      <c r="A15" s="13" t="s">
        <v>38</v>
      </c>
      <c r="B15" s="18">
        <v>3379.5</v>
      </c>
      <c r="C15" s="18">
        <v>3699</v>
      </c>
      <c r="D15" s="18">
        <v>3797.4</v>
      </c>
      <c r="E15" s="18">
        <v>3864.9</v>
      </c>
      <c r="F15" s="18">
        <v>4084.2</v>
      </c>
      <c r="G15" s="18">
        <v>4424.7</v>
      </c>
      <c r="H15" s="18">
        <v>4593.6000000000004</v>
      </c>
      <c r="I15" s="18">
        <v>4759.5</v>
      </c>
      <c r="J15" s="18">
        <v>4962.8999999999996</v>
      </c>
      <c r="K15" s="18">
        <v>5121.6000000000004</v>
      </c>
      <c r="L15" s="18">
        <v>5265.6</v>
      </c>
      <c r="M15" s="18">
        <v>5437.8</v>
      </c>
      <c r="N15" s="18">
        <v>5550.9</v>
      </c>
      <c r="O15" s="18">
        <v>5640.6</v>
      </c>
      <c r="P15" s="18">
        <v>5640.6</v>
      </c>
      <c r="Q15" s="18">
        <v>5640.6</v>
      </c>
      <c r="R15" s="18">
        <v>5640.6</v>
      </c>
      <c r="S15" s="18">
        <v>5640.6</v>
      </c>
      <c r="T15" s="18">
        <v>5640.6</v>
      </c>
      <c r="U15" s="18">
        <v>5640.6</v>
      </c>
      <c r="V15" s="16">
        <v>5640.6</v>
      </c>
      <c r="W15" s="15">
        <v>5640.6</v>
      </c>
    </row>
    <row r="16" spans="1:23" x14ac:dyDescent="0.25">
      <c r="A16" s="13" t="s">
        <v>39</v>
      </c>
      <c r="B16" s="18">
        <v>2966.4</v>
      </c>
      <c r="C16" s="18">
        <v>3285.6</v>
      </c>
      <c r="D16" s="18">
        <v>3371.4</v>
      </c>
      <c r="E16" s="18">
        <v>3552.9</v>
      </c>
      <c r="F16" s="18">
        <v>3767.4</v>
      </c>
      <c r="G16" s="18">
        <v>4083.6</v>
      </c>
      <c r="H16" s="18">
        <v>4231.2</v>
      </c>
      <c r="I16" s="18">
        <v>4437.3</v>
      </c>
      <c r="J16" s="18">
        <v>4640.3999999999996</v>
      </c>
      <c r="K16" s="18">
        <v>4800.3</v>
      </c>
      <c r="L16" s="18">
        <v>4947</v>
      </c>
      <c r="M16" s="18">
        <v>5125.8</v>
      </c>
      <c r="N16" s="18">
        <v>5125.8</v>
      </c>
      <c r="O16" s="18">
        <v>5125.8</v>
      </c>
      <c r="P16" s="18">
        <v>5125.8</v>
      </c>
      <c r="Q16" s="18">
        <v>5125.8</v>
      </c>
      <c r="R16" s="18">
        <v>5125.8</v>
      </c>
      <c r="S16" s="18">
        <v>5125.8</v>
      </c>
      <c r="T16" s="18">
        <v>5125.8</v>
      </c>
      <c r="U16" s="18">
        <v>5125.8</v>
      </c>
      <c r="V16" s="16">
        <v>5125.8</v>
      </c>
      <c r="W16" s="15">
        <v>5125.8</v>
      </c>
    </row>
    <row r="17" spans="1:23" x14ac:dyDescent="0.25">
      <c r="A17" s="13" t="s">
        <v>40</v>
      </c>
      <c r="B17" s="15">
        <v>5052.6000000000004</v>
      </c>
      <c r="C17" s="15">
        <v>5052.6000000000004</v>
      </c>
      <c r="D17" s="15">
        <v>5052.6000000000004</v>
      </c>
      <c r="E17" s="15">
        <v>5052.6000000000004</v>
      </c>
      <c r="F17" s="15">
        <v>5052.6000000000004</v>
      </c>
      <c r="G17" s="15">
        <v>5052.6000000000004</v>
      </c>
      <c r="H17" s="15">
        <v>5052.6000000000004</v>
      </c>
      <c r="I17" s="18">
        <v>5166.8999999999996</v>
      </c>
      <c r="J17" s="18">
        <v>5311.5</v>
      </c>
      <c r="K17" s="18">
        <v>5481</v>
      </c>
      <c r="L17" s="18">
        <v>5652.6</v>
      </c>
      <c r="M17" s="18">
        <v>5926.5</v>
      </c>
      <c r="N17" s="18">
        <v>6158.7</v>
      </c>
      <c r="O17" s="18">
        <v>6402.6</v>
      </c>
      <c r="P17" s="18">
        <v>6776.4</v>
      </c>
      <c r="Q17" s="18">
        <v>6776.4</v>
      </c>
      <c r="R17" s="18">
        <v>7114.8</v>
      </c>
      <c r="S17" s="18">
        <v>7114.8</v>
      </c>
      <c r="T17" s="18">
        <v>7470.6</v>
      </c>
      <c r="U17" s="18">
        <v>7470.6</v>
      </c>
      <c r="V17" s="18">
        <v>7844.7</v>
      </c>
      <c r="W17" s="18">
        <v>7844.7</v>
      </c>
    </row>
    <row r="18" spans="1:23" x14ac:dyDescent="0.25">
      <c r="A18" s="13" t="s">
        <v>41</v>
      </c>
      <c r="B18" s="15">
        <v>4136.1000000000004</v>
      </c>
      <c r="C18" s="15">
        <v>4136.1000000000004</v>
      </c>
      <c r="D18" s="15">
        <v>4136.1000000000004</v>
      </c>
      <c r="E18" s="15">
        <v>4136.1000000000004</v>
      </c>
      <c r="F18" s="15">
        <v>4136.1000000000004</v>
      </c>
      <c r="G18" s="15">
        <v>4136.1000000000004</v>
      </c>
      <c r="H18" s="18">
        <v>4318.8</v>
      </c>
      <c r="I18" s="18">
        <v>4432.2</v>
      </c>
      <c r="J18" s="18">
        <v>4567.8</v>
      </c>
      <c r="K18" s="18">
        <v>4715.1000000000004</v>
      </c>
      <c r="L18" s="18">
        <v>4980.3</v>
      </c>
      <c r="M18" s="18">
        <v>5114.7</v>
      </c>
      <c r="N18" s="18">
        <v>5343.6</v>
      </c>
      <c r="O18" s="18">
        <v>5470.5</v>
      </c>
      <c r="P18" s="18">
        <v>5782.8</v>
      </c>
      <c r="Q18" s="18">
        <v>5782.8</v>
      </c>
      <c r="R18" s="18">
        <v>5898.9</v>
      </c>
      <c r="S18" s="18">
        <v>5898.9</v>
      </c>
      <c r="T18" s="18">
        <v>5898.9</v>
      </c>
      <c r="U18" s="18">
        <v>5898.9</v>
      </c>
      <c r="V18" s="18">
        <v>5898.9</v>
      </c>
      <c r="W18" s="18">
        <v>5898.9</v>
      </c>
    </row>
    <row r="19" spans="1:23" x14ac:dyDescent="0.25">
      <c r="A19" s="13" t="s">
        <v>42</v>
      </c>
      <c r="B19" s="18">
        <v>2875.2</v>
      </c>
      <c r="C19" s="18">
        <v>3138</v>
      </c>
      <c r="D19" s="18">
        <v>3258.3</v>
      </c>
      <c r="E19" s="18">
        <v>3417.3</v>
      </c>
      <c r="F19" s="18">
        <v>3541.8</v>
      </c>
      <c r="G19" s="18">
        <v>3755.1</v>
      </c>
      <c r="H19" s="18">
        <v>3875.4</v>
      </c>
      <c r="I19" s="18">
        <v>4088.7</v>
      </c>
      <c r="J19" s="18">
        <v>4266.6000000000004</v>
      </c>
      <c r="K19" s="18">
        <v>4387.8</v>
      </c>
      <c r="L19" s="18">
        <v>4516.8</v>
      </c>
      <c r="M19" s="18">
        <v>4566.6000000000004</v>
      </c>
      <c r="N19" s="18">
        <v>4734.6000000000004</v>
      </c>
      <c r="O19" s="18">
        <v>4824.6000000000004</v>
      </c>
      <c r="P19" s="18">
        <v>5167.5</v>
      </c>
      <c r="Q19" s="18">
        <v>5167.5</v>
      </c>
      <c r="R19" s="18">
        <v>5167.5</v>
      </c>
      <c r="S19" s="18">
        <v>5167.5</v>
      </c>
      <c r="T19" s="18">
        <v>5167.5</v>
      </c>
      <c r="U19" s="18">
        <v>5167.5</v>
      </c>
      <c r="V19" s="16">
        <v>5167.5</v>
      </c>
      <c r="W19" s="15">
        <v>5167.5</v>
      </c>
    </row>
    <row r="20" spans="1:23" x14ac:dyDescent="0.25">
      <c r="A20" s="13" t="s">
        <v>43</v>
      </c>
      <c r="B20" s="18">
        <v>2486.6999999999998</v>
      </c>
      <c r="C20" s="18">
        <v>2736.6</v>
      </c>
      <c r="D20" s="18">
        <v>2857.2</v>
      </c>
      <c r="E20" s="18">
        <v>2974.8</v>
      </c>
      <c r="F20" s="18">
        <v>3097.2</v>
      </c>
      <c r="G20" s="18">
        <v>3372.6</v>
      </c>
      <c r="H20" s="18">
        <v>3480.3</v>
      </c>
      <c r="I20" s="18">
        <v>3688.2</v>
      </c>
      <c r="J20" s="18">
        <v>3751.5</v>
      </c>
      <c r="K20" s="18">
        <v>3797.7</v>
      </c>
      <c r="L20" s="18">
        <v>3851.7</v>
      </c>
      <c r="M20" s="18">
        <v>3851.7</v>
      </c>
      <c r="N20" s="18">
        <v>3851.7</v>
      </c>
      <c r="O20" s="18">
        <v>3851.7</v>
      </c>
      <c r="P20" s="18">
        <v>3851.7</v>
      </c>
      <c r="Q20" s="18">
        <v>3851.7</v>
      </c>
      <c r="R20" s="18">
        <v>3851.7</v>
      </c>
      <c r="S20" s="18">
        <v>3851.7</v>
      </c>
      <c r="T20" s="18">
        <v>3851.7</v>
      </c>
      <c r="U20" s="18">
        <v>3851.7</v>
      </c>
      <c r="V20" s="16">
        <v>3851.7</v>
      </c>
      <c r="W20" s="15">
        <v>3851.7</v>
      </c>
    </row>
    <row r="21" spans="1:23" x14ac:dyDescent="0.25">
      <c r="A21" s="13" t="s">
        <v>44</v>
      </c>
      <c r="B21" s="18">
        <v>2278.1999999999998</v>
      </c>
      <c r="C21" s="18">
        <v>2431.5</v>
      </c>
      <c r="D21" s="18">
        <v>2549.1</v>
      </c>
      <c r="E21" s="18">
        <v>2669.1</v>
      </c>
      <c r="F21" s="18">
        <v>2856.6</v>
      </c>
      <c r="G21" s="18">
        <v>3052.5</v>
      </c>
      <c r="H21" s="18">
        <v>3213.6</v>
      </c>
      <c r="I21" s="18">
        <v>3232.8</v>
      </c>
      <c r="J21" s="18">
        <v>3232.8</v>
      </c>
      <c r="K21" s="18">
        <v>3232.8</v>
      </c>
      <c r="L21" s="18">
        <v>3232.8</v>
      </c>
      <c r="M21" s="18">
        <v>3232.8</v>
      </c>
      <c r="N21" s="18">
        <v>3232.8</v>
      </c>
      <c r="O21" s="18">
        <v>3232.8</v>
      </c>
      <c r="P21" s="18">
        <v>3232.8</v>
      </c>
      <c r="Q21" s="18">
        <v>3232.8</v>
      </c>
      <c r="R21" s="18">
        <v>3232.8</v>
      </c>
      <c r="S21" s="18">
        <v>3232.8</v>
      </c>
      <c r="T21" s="18">
        <v>3232.8</v>
      </c>
      <c r="U21" s="18">
        <v>3232.8</v>
      </c>
      <c r="V21" s="16">
        <v>3232.8</v>
      </c>
      <c r="W21" s="15">
        <v>3232.8</v>
      </c>
    </row>
    <row r="22" spans="1:23" x14ac:dyDescent="0.25">
      <c r="A22" s="13" t="s">
        <v>45</v>
      </c>
      <c r="B22" s="18">
        <v>2088.9</v>
      </c>
      <c r="C22" s="18">
        <v>2195.6999999999998</v>
      </c>
      <c r="D22" s="18">
        <v>2314.8000000000002</v>
      </c>
      <c r="E22" s="18">
        <v>2432.1</v>
      </c>
      <c r="F22" s="18">
        <v>2535.6</v>
      </c>
      <c r="G22" s="18">
        <v>2535.6</v>
      </c>
      <c r="H22" s="18">
        <v>2535.6</v>
      </c>
      <c r="I22" s="18">
        <v>2535.6</v>
      </c>
      <c r="J22" s="18">
        <v>2535.6</v>
      </c>
      <c r="K22" s="18">
        <v>2535.6</v>
      </c>
      <c r="L22" s="18">
        <v>2535.6</v>
      </c>
      <c r="M22" s="18">
        <v>2535.6</v>
      </c>
      <c r="N22" s="18">
        <v>2535.6</v>
      </c>
      <c r="O22" s="18">
        <v>2535.6</v>
      </c>
      <c r="P22" s="18">
        <v>2535.6</v>
      </c>
      <c r="Q22" s="18">
        <v>2535.6</v>
      </c>
      <c r="R22" s="18">
        <v>2535.6</v>
      </c>
      <c r="S22" s="18">
        <v>2535.6</v>
      </c>
      <c r="T22" s="18">
        <v>2535.6</v>
      </c>
      <c r="U22" s="18">
        <v>2535.6</v>
      </c>
      <c r="V22" s="16">
        <v>2535.6</v>
      </c>
      <c r="W22" s="15">
        <v>2535.6</v>
      </c>
    </row>
    <row r="23" spans="1:23" x14ac:dyDescent="0.25">
      <c r="A23" s="13" t="s">
        <v>46</v>
      </c>
      <c r="B23" s="18">
        <v>1885.8</v>
      </c>
      <c r="C23" s="18">
        <v>2004.3</v>
      </c>
      <c r="D23" s="18">
        <v>2125.8000000000002</v>
      </c>
      <c r="E23" s="18">
        <v>2125.8000000000002</v>
      </c>
      <c r="F23" s="18">
        <v>2125.8000000000002</v>
      </c>
      <c r="G23" s="18">
        <v>2125.8000000000002</v>
      </c>
      <c r="H23" s="18">
        <v>2125.8000000000002</v>
      </c>
      <c r="I23" s="18">
        <v>2125.8000000000002</v>
      </c>
      <c r="J23" s="18">
        <v>2125.8000000000002</v>
      </c>
      <c r="K23" s="18">
        <v>2125.8000000000002</v>
      </c>
      <c r="L23" s="18">
        <v>2125.8000000000002</v>
      </c>
      <c r="M23" s="18">
        <v>2125.8000000000002</v>
      </c>
      <c r="N23" s="18">
        <v>2125.8000000000002</v>
      </c>
      <c r="O23" s="18">
        <v>2125.8000000000002</v>
      </c>
      <c r="P23" s="18">
        <v>2125.8000000000002</v>
      </c>
      <c r="Q23" s="18">
        <v>2125.8000000000002</v>
      </c>
      <c r="R23" s="18">
        <v>2125.8000000000002</v>
      </c>
      <c r="S23" s="18">
        <v>2125.8000000000002</v>
      </c>
      <c r="T23" s="18">
        <v>2125.8000000000002</v>
      </c>
      <c r="U23" s="18">
        <v>2125.8000000000002</v>
      </c>
      <c r="V23" s="16">
        <v>2125.8000000000002</v>
      </c>
      <c r="W23" s="15">
        <v>2125.8000000000002</v>
      </c>
    </row>
    <row r="24" spans="1:23" x14ac:dyDescent="0.25">
      <c r="A24" s="13" t="s">
        <v>47</v>
      </c>
      <c r="B24" s="18">
        <v>1793.4</v>
      </c>
      <c r="C24" s="18">
        <v>1793.4</v>
      </c>
      <c r="D24" s="18">
        <v>1793.4</v>
      </c>
      <c r="E24" s="18">
        <v>1793.4</v>
      </c>
      <c r="F24" s="18">
        <v>1793.4</v>
      </c>
      <c r="G24" s="18">
        <v>1793.4</v>
      </c>
      <c r="H24" s="18">
        <v>1793.4</v>
      </c>
      <c r="I24" s="18">
        <v>1793.4</v>
      </c>
      <c r="J24" s="18">
        <v>1793.4</v>
      </c>
      <c r="K24" s="18">
        <v>1793.4</v>
      </c>
      <c r="L24" s="18">
        <v>1793.4</v>
      </c>
      <c r="M24" s="18">
        <v>1793.4</v>
      </c>
      <c r="N24" s="18">
        <v>1793.4</v>
      </c>
      <c r="O24" s="18">
        <v>1793.4</v>
      </c>
      <c r="P24" s="18">
        <v>1793.4</v>
      </c>
      <c r="Q24" s="18">
        <v>1793.4</v>
      </c>
      <c r="R24" s="18">
        <v>1793.4</v>
      </c>
      <c r="S24" s="18">
        <v>1793.4</v>
      </c>
      <c r="T24" s="18">
        <v>1793.4</v>
      </c>
      <c r="U24" s="18">
        <v>1793.4</v>
      </c>
      <c r="V24" s="16">
        <v>1793.4</v>
      </c>
      <c r="W24" s="15">
        <v>1793.4</v>
      </c>
    </row>
    <row r="25" spans="1:23" x14ac:dyDescent="0.25">
      <c r="A25" s="13" t="s">
        <v>56</v>
      </c>
      <c r="B25" s="18">
        <v>1599.9</v>
      </c>
      <c r="C25" s="18">
        <v>1599.9</v>
      </c>
      <c r="D25" s="18">
        <v>1599.9</v>
      </c>
      <c r="E25" s="18">
        <v>1599.9</v>
      </c>
      <c r="F25" s="18">
        <v>1599.9</v>
      </c>
      <c r="G25" s="18">
        <v>1599.9</v>
      </c>
      <c r="H25" s="18">
        <v>1599.9</v>
      </c>
      <c r="I25" s="18">
        <v>1599.9</v>
      </c>
      <c r="J25" s="18">
        <v>1599.9</v>
      </c>
      <c r="K25" s="18">
        <v>1599.9</v>
      </c>
      <c r="L25" s="18">
        <v>1599.9</v>
      </c>
      <c r="M25" s="18">
        <v>1599.9</v>
      </c>
      <c r="N25" s="18">
        <v>1599.9</v>
      </c>
      <c r="O25" s="18">
        <v>1599.9</v>
      </c>
      <c r="P25" s="18">
        <v>1599.9</v>
      </c>
      <c r="Q25" s="18">
        <v>1599.9</v>
      </c>
      <c r="R25" s="16">
        <v>1599.9</v>
      </c>
      <c r="S25" s="16">
        <v>1599.9</v>
      </c>
      <c r="T25" s="16">
        <v>1599.9</v>
      </c>
      <c r="U25" s="15">
        <v>1599.9</v>
      </c>
      <c r="V25" s="15">
        <v>1599.9</v>
      </c>
      <c r="W25" s="15">
        <v>1599.9</v>
      </c>
    </row>
  </sheetData>
  <sheetProtection sheet="1" objects="1" scenarios="1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Information</vt:lpstr>
      <vt:lpstr>Retirement Pay Calculations</vt:lpstr>
      <vt:lpstr>Salary Calculator</vt:lpstr>
      <vt:lpstr>Tax Brackets</vt:lpstr>
      <vt:lpstr>Disability Payment</vt:lpstr>
      <vt:lpstr>Retirment Pay Summary</vt:lpstr>
      <vt:lpstr>2025 Pay Chart</vt:lpstr>
      <vt:lpstr>2024 Pay Chart</vt:lpstr>
      <vt:lpstr>2023 Pay Chart</vt:lpstr>
      <vt:lpstr>2022 Pay Chart</vt:lpstr>
      <vt:lpstr>2021 Pay Chart</vt:lpstr>
      <vt:lpstr>2020 Pay Chart</vt:lpstr>
      <vt:lpstr>2019 Pay Chart</vt:lpstr>
      <vt:lpstr>2018 Pay Chart</vt:lpstr>
      <vt:lpstr>2017 Pay Chart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Military Transition Calculator</dc:title>
  <dc:creator>Troy Ward</dc:creator>
  <cp:keywords>Retirement, Calculator, Military, Pay</cp:keywords>
  <cp:lastModifiedBy>Troy Ward</cp:lastModifiedBy>
  <cp:lastPrinted>2020-02-10T03:02:43Z</cp:lastPrinted>
  <dcterms:created xsi:type="dcterms:W3CDTF">2018-12-16T22:09:19Z</dcterms:created>
  <dcterms:modified xsi:type="dcterms:W3CDTF">2023-12-25T05:40:45Z</dcterms:modified>
  <cp:contentStatus>Copyright Troy Ward 2020</cp:contentStatus>
</cp:coreProperties>
</file>