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453a48a715722f3/Documents/"/>
    </mc:Choice>
  </mc:AlternateContent>
  <xr:revisionPtr revIDLastSave="743" documentId="8_{F8590AA6-452C-43A1-A13D-28B85ACDCEF8}" xr6:coauthVersionLast="45" xr6:coauthVersionMax="45" xr10:uidLastSave="{2004937D-19BA-4DD6-8138-B99399FB47A8}"/>
  <workbookProtection lockStructure="1"/>
  <bookViews>
    <workbookView xWindow="-120" yWindow="-120" windowWidth="29040" windowHeight="15840" xr2:uid="{6DD4531E-06FE-4E3E-8555-2BF16B89EF35}"/>
  </bookViews>
  <sheets>
    <sheet name="Information" sheetId="13" r:id="rId1"/>
    <sheet name="Retirement Pay Calculations" sheetId="4" state="hidden" r:id="rId2"/>
    <sheet name="Salary Calculator" sheetId="11" r:id="rId3"/>
    <sheet name="Tax Brackets" sheetId="12" state="hidden" r:id="rId4"/>
    <sheet name="Disability Payment" sheetId="2" state="hidden" r:id="rId5"/>
    <sheet name="Retirment Pay Summary" sheetId="5" r:id="rId6"/>
    <sheet name="2021 Pay Chart" sheetId="15" r:id="rId7"/>
    <sheet name="2020 Pay Chart" sheetId="9" r:id="rId8"/>
    <sheet name="2019 Pay Chart" sheetId="6" r:id="rId9"/>
    <sheet name="2018 Pay Chart" sheetId="10" r:id="rId10"/>
    <sheet name="2017 Pay Chart" sheetId="8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5" l="1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W3" i="15"/>
  <c r="V3" i="15"/>
  <c r="U3" i="15"/>
  <c r="T3" i="15"/>
  <c r="S3" i="15"/>
  <c r="R3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3" i="15"/>
  <c r="B3" i="15"/>
  <c r="W2" i="15"/>
  <c r="V2" i="15"/>
  <c r="U2" i="15"/>
  <c r="T2" i="15"/>
  <c r="S2" i="15"/>
  <c r="R2" i="15"/>
  <c r="Q2" i="15"/>
  <c r="P2" i="15"/>
  <c r="O2" i="15"/>
  <c r="N2" i="15"/>
  <c r="M2" i="15"/>
  <c r="L2" i="15"/>
  <c r="K2" i="15"/>
  <c r="J2" i="15"/>
  <c r="I2" i="15"/>
  <c r="H2" i="15"/>
  <c r="G2" i="15"/>
  <c r="F2" i="15"/>
  <c r="E2" i="15"/>
  <c r="D2" i="15"/>
  <c r="C2" i="15"/>
  <c r="B2" i="15"/>
  <c r="B3" i="5"/>
  <c r="B10" i="11" l="1"/>
  <c r="B9" i="11"/>
  <c r="B8" i="11"/>
  <c r="B7" i="11"/>
  <c r="B3" i="11"/>
  <c r="F31" i="11"/>
  <c r="F33" i="11" s="1"/>
  <c r="F34" i="11"/>
  <c r="F24" i="11"/>
  <c r="F19" i="11"/>
  <c r="F26" i="11" l="1"/>
  <c r="F40" i="11"/>
  <c r="F41" i="11"/>
  <c r="F36" i="11"/>
  <c r="G18" i="12" l="1"/>
  <c r="E29" i="11" l="1"/>
  <c r="E28" i="11"/>
  <c r="E34" i="11"/>
  <c r="D34" i="11"/>
  <c r="C34" i="11"/>
  <c r="E24" i="11"/>
  <c r="D29" i="11" l="1"/>
  <c r="D28" i="11"/>
  <c r="D24" i="11"/>
  <c r="C33" i="11"/>
  <c r="B33" i="11"/>
  <c r="B23" i="11"/>
  <c r="C23" i="11" s="1"/>
  <c r="B22" i="11"/>
  <c r="C22" i="11" s="1"/>
  <c r="B21" i="11"/>
  <c r="C21" i="11" s="1"/>
  <c r="B18" i="11"/>
  <c r="C18" i="11" s="1"/>
  <c r="B17" i="11"/>
  <c r="C17" i="11" s="1"/>
  <c r="B16" i="11"/>
  <c r="C16" i="11" s="1"/>
  <c r="C19" i="11" l="1"/>
  <c r="C41" i="11" s="1"/>
  <c r="C24" i="11"/>
  <c r="C26" i="11" s="1"/>
  <c r="D16" i="11" s="1"/>
  <c r="D19" i="11" s="1"/>
  <c r="D26" i="11" s="1"/>
  <c r="B24" i="11"/>
  <c r="B19" i="11"/>
  <c r="E7" i="13"/>
  <c r="C59" i="13" s="1"/>
  <c r="B58" i="13"/>
  <c r="E26" i="13"/>
  <c r="B48" i="13" s="1"/>
  <c r="D48" i="13" s="1"/>
  <c r="E25" i="13"/>
  <c r="B47" i="13" s="1"/>
  <c r="D47" i="13" s="1"/>
  <c r="E24" i="13"/>
  <c r="B46" i="13" s="1"/>
  <c r="D46" i="13" s="1"/>
  <c r="E22" i="13"/>
  <c r="B42" i="13" s="1"/>
  <c r="E21" i="13"/>
  <c r="E20" i="13"/>
  <c r="E19" i="13"/>
  <c r="B40" i="13" s="1"/>
  <c r="E30" i="13"/>
  <c r="C42" i="13" s="1"/>
  <c r="E29" i="13"/>
  <c r="C41" i="13" s="1"/>
  <c r="E28" i="13"/>
  <c r="C40" i="13" s="1"/>
  <c r="E6" i="13"/>
  <c r="C36" i="11" l="1"/>
  <c r="G15" i="12" s="1"/>
  <c r="C39" i="11"/>
  <c r="C40" i="11"/>
  <c r="B26" i="11"/>
  <c r="B41" i="11"/>
  <c r="B40" i="11"/>
  <c r="B36" i="11"/>
  <c r="B39" i="11" s="1"/>
  <c r="D42" i="13"/>
  <c r="B41" i="13"/>
  <c r="D41" i="13" s="1"/>
  <c r="B59" i="13"/>
  <c r="D59" i="13" s="1"/>
  <c r="D40" i="13"/>
  <c r="B50" i="13"/>
  <c r="E13" i="13"/>
  <c r="B10" i="5" s="1"/>
  <c r="B44" i="13" l="1"/>
  <c r="G19" i="12" s="1"/>
  <c r="B60" i="13"/>
  <c r="B51" i="13"/>
  <c r="E35" i="13"/>
  <c r="C54" i="13" s="1"/>
  <c r="D54" i="13" s="1"/>
  <c r="E34" i="13"/>
  <c r="C55" i="13" s="1"/>
  <c r="D55" i="13" s="1"/>
  <c r="E33" i="13"/>
  <c r="E32" i="13"/>
  <c r="B65" i="13" l="1"/>
  <c r="B64" i="13"/>
  <c r="C57" i="13"/>
  <c r="D57" i="13" s="1"/>
  <c r="B6" i="11"/>
  <c r="C56" i="13"/>
  <c r="D56" i="13" s="1"/>
  <c r="B5" i="11"/>
  <c r="D31" i="11" s="1"/>
  <c r="E17" i="13"/>
  <c r="B5" i="5" s="1"/>
  <c r="E16" i="13"/>
  <c r="B4" i="5" s="1"/>
  <c r="E15" i="13"/>
  <c r="B6" i="5" s="1"/>
  <c r="E11" i="13"/>
  <c r="B9" i="5" s="1"/>
  <c r="E9" i="13"/>
  <c r="E8" i="13"/>
  <c r="B63" i="13" s="1"/>
  <c r="E5" i="13"/>
  <c r="E4" i="13"/>
  <c r="B2" i="5" s="1"/>
  <c r="E3" i="13"/>
  <c r="B8" i="5" s="1"/>
  <c r="N14" i="12"/>
  <c r="M14" i="12"/>
  <c r="L14" i="12"/>
  <c r="K14" i="12"/>
  <c r="J14" i="12"/>
  <c r="I14" i="12"/>
  <c r="H14" i="12"/>
  <c r="H12" i="12"/>
  <c r="K12" i="12" s="1"/>
  <c r="L19" i="12" s="1"/>
  <c r="E32" i="11" l="1"/>
  <c r="D32" i="11"/>
  <c r="D33" i="11" s="1"/>
  <c r="B4" i="11"/>
  <c r="F39" i="11" s="1"/>
  <c r="E12" i="13"/>
  <c r="B7" i="5" s="1"/>
  <c r="H19" i="12"/>
  <c r="I19" i="12"/>
  <c r="N19" i="12"/>
  <c r="M19" i="12"/>
  <c r="J19" i="12"/>
  <c r="K19" i="12"/>
  <c r="M3" i="4"/>
  <c r="I5" i="4"/>
  <c r="J5" i="4" s="1"/>
  <c r="F2" i="5" s="1"/>
  <c r="A41" i="4"/>
  <c r="B41" i="4" s="1"/>
  <c r="P3" i="4"/>
  <c r="N3" i="4"/>
  <c r="D41" i="11" l="1"/>
  <c r="D36" i="11"/>
  <c r="D39" i="11" s="1"/>
  <c r="D40" i="11"/>
  <c r="O19" i="12"/>
  <c r="B62" i="13" s="1"/>
  <c r="B66" i="13" s="1"/>
  <c r="B67" i="13" s="1"/>
  <c r="B68" i="13" s="1"/>
  <c r="A5" i="4"/>
  <c r="A34" i="4"/>
  <c r="A21" i="4"/>
  <c r="A6" i="4"/>
  <c r="A25" i="4"/>
  <c r="A9" i="4"/>
  <c r="A32" i="4"/>
  <c r="A8" i="4"/>
  <c r="C8" i="4" s="1"/>
  <c r="A27" i="4"/>
  <c r="C27" i="4" s="1"/>
  <c r="A38" i="4"/>
  <c r="C38" i="4" s="1"/>
  <c r="A18" i="4"/>
  <c r="A22" i="4"/>
  <c r="A35" i="4"/>
  <c r="B35" i="4" s="1"/>
  <c r="D41" i="4"/>
  <c r="A14" i="4"/>
  <c r="D14" i="4" s="1"/>
  <c r="A33" i="4"/>
  <c r="C33" i="4" s="1"/>
  <c r="A17" i="4"/>
  <c r="D17" i="4" s="1"/>
  <c r="A40" i="4"/>
  <c r="B40" i="4" s="1"/>
  <c r="F40" i="4" s="1"/>
  <c r="A20" i="4"/>
  <c r="D20" i="4" s="1"/>
  <c r="A19" i="4"/>
  <c r="A23" i="4"/>
  <c r="C23" i="4" s="1"/>
  <c r="C41" i="4"/>
  <c r="A30" i="4"/>
  <c r="A37" i="4"/>
  <c r="A24" i="4"/>
  <c r="B24" i="4" s="1"/>
  <c r="A11" i="4"/>
  <c r="A26" i="4"/>
  <c r="A10" i="4"/>
  <c r="D10" i="4" s="1"/>
  <c r="A29" i="4"/>
  <c r="D29" i="4" s="1"/>
  <c r="A13" i="4"/>
  <c r="C13" i="4" s="1"/>
  <c r="A36" i="4"/>
  <c r="A16" i="4"/>
  <c r="C16" i="4" s="1"/>
  <c r="A15" i="4"/>
  <c r="D15" i="4" s="1"/>
  <c r="A39" i="4"/>
  <c r="M5" i="4"/>
  <c r="F12" i="5" s="1"/>
  <c r="C49" i="13" s="1"/>
  <c r="F41" i="4"/>
  <c r="E41" i="4"/>
  <c r="B38" i="4"/>
  <c r="A28" i="4"/>
  <c r="A12" i="4"/>
  <c r="A31" i="4"/>
  <c r="A7" i="4"/>
  <c r="G41" i="4"/>
  <c r="G16" i="12" l="1"/>
  <c r="F5" i="5"/>
  <c r="B29" i="4"/>
  <c r="F29" i="4" s="1"/>
  <c r="B23" i="4"/>
  <c r="F23" i="4" s="1"/>
  <c r="D40" i="4"/>
  <c r="C29" i="4"/>
  <c r="B17" i="4"/>
  <c r="E17" i="4" s="1"/>
  <c r="C40" i="4"/>
  <c r="D38" i="4"/>
  <c r="E40" i="4"/>
  <c r="D33" i="4"/>
  <c r="D23" i="4"/>
  <c r="B15" i="4"/>
  <c r="F15" i="4" s="1"/>
  <c r="C15" i="4"/>
  <c r="C17" i="4"/>
  <c r="D8" i="4"/>
  <c r="C14" i="4"/>
  <c r="B8" i="4"/>
  <c r="E8" i="4" s="1"/>
  <c r="B14" i="4"/>
  <c r="F14" i="4" s="1"/>
  <c r="B33" i="4"/>
  <c r="D16" i="4"/>
  <c r="B16" i="4"/>
  <c r="C10" i="4"/>
  <c r="B10" i="4"/>
  <c r="B37" i="4"/>
  <c r="D37" i="4"/>
  <c r="C37" i="4"/>
  <c r="D19" i="4"/>
  <c r="C19" i="4"/>
  <c r="B19" i="4"/>
  <c r="D22" i="4"/>
  <c r="B22" i="4"/>
  <c r="C22" i="4"/>
  <c r="D6" i="4"/>
  <c r="C6" i="4"/>
  <c r="B6" i="4"/>
  <c r="D36" i="4"/>
  <c r="C36" i="4"/>
  <c r="B36" i="4"/>
  <c r="C26" i="4"/>
  <c r="D26" i="4"/>
  <c r="B26" i="4"/>
  <c r="D30" i="4"/>
  <c r="C30" i="4"/>
  <c r="B30" i="4"/>
  <c r="C20" i="4"/>
  <c r="B20" i="4"/>
  <c r="D18" i="4"/>
  <c r="C18" i="4"/>
  <c r="B18" i="4"/>
  <c r="C32" i="4"/>
  <c r="B32" i="4"/>
  <c r="D32" i="4"/>
  <c r="C21" i="4"/>
  <c r="D21" i="4"/>
  <c r="B21" i="4"/>
  <c r="D39" i="4"/>
  <c r="C39" i="4"/>
  <c r="B39" i="4"/>
  <c r="B13" i="4"/>
  <c r="D13" i="4"/>
  <c r="D11" i="4"/>
  <c r="B11" i="4"/>
  <c r="C11" i="4"/>
  <c r="D9" i="4"/>
  <c r="C9" i="4"/>
  <c r="B9" i="4"/>
  <c r="D34" i="4"/>
  <c r="C34" i="4"/>
  <c r="B34" i="4"/>
  <c r="D24" i="4"/>
  <c r="C24" i="4"/>
  <c r="D35" i="4"/>
  <c r="C35" i="4"/>
  <c r="B27" i="4"/>
  <c r="D27" i="4"/>
  <c r="D25" i="4"/>
  <c r="C25" i="4"/>
  <c r="B25" i="4"/>
  <c r="D5" i="4"/>
  <c r="C5" i="4"/>
  <c r="B5" i="4"/>
  <c r="D28" i="4"/>
  <c r="B28" i="4"/>
  <c r="C28" i="4"/>
  <c r="C12" i="4"/>
  <c r="B12" i="4"/>
  <c r="D12" i="4"/>
  <c r="F38" i="4"/>
  <c r="E38" i="4"/>
  <c r="C7" i="4"/>
  <c r="B7" i="4"/>
  <c r="D7" i="4"/>
  <c r="D31" i="4"/>
  <c r="C31" i="4"/>
  <c r="B31" i="4"/>
  <c r="E15" i="4"/>
  <c r="E29" i="4"/>
  <c r="F24" i="4"/>
  <c r="E24" i="4"/>
  <c r="E35" i="4"/>
  <c r="F35" i="4"/>
  <c r="E14" i="4"/>
  <c r="G15" i="4"/>
  <c r="H41" i="4"/>
  <c r="G35" i="4"/>
  <c r="G40" i="4"/>
  <c r="G24" i="4"/>
  <c r="G23" i="4"/>
  <c r="G38" i="4"/>
  <c r="G14" i="4"/>
  <c r="G29" i="4"/>
  <c r="E23" i="4" l="1"/>
  <c r="F17" i="4"/>
  <c r="C50" i="13"/>
  <c r="D50" i="13" s="1"/>
  <c r="D49" i="13"/>
  <c r="F8" i="4"/>
  <c r="E33" i="4"/>
  <c r="F33" i="4"/>
  <c r="E13" i="4"/>
  <c r="F13" i="4"/>
  <c r="E21" i="4"/>
  <c r="F21" i="4"/>
  <c r="E32" i="4"/>
  <c r="F32" i="4"/>
  <c r="F6" i="4"/>
  <c r="E6" i="4"/>
  <c r="E22" i="4"/>
  <c r="F22" i="4"/>
  <c r="F10" i="4"/>
  <c r="E10" i="4"/>
  <c r="F25" i="4"/>
  <c r="E25" i="4"/>
  <c r="F27" i="4"/>
  <c r="E27" i="4"/>
  <c r="F9" i="4"/>
  <c r="E9" i="4"/>
  <c r="F11" i="4"/>
  <c r="E11" i="4"/>
  <c r="F39" i="4"/>
  <c r="E39" i="4"/>
  <c r="E20" i="4"/>
  <c r="F20" i="4"/>
  <c r="E36" i="4"/>
  <c r="F36" i="4"/>
  <c r="F5" i="4"/>
  <c r="E5" i="4"/>
  <c r="E34" i="4"/>
  <c r="F34" i="4"/>
  <c r="F18" i="4"/>
  <c r="E18" i="4"/>
  <c r="F26" i="4"/>
  <c r="E26" i="4"/>
  <c r="E19" i="4"/>
  <c r="F19" i="4"/>
  <c r="E16" i="4"/>
  <c r="F16" i="4"/>
  <c r="E30" i="4"/>
  <c r="F30" i="4"/>
  <c r="E37" i="4"/>
  <c r="F37" i="4"/>
  <c r="F31" i="4"/>
  <c r="E31" i="4"/>
  <c r="F7" i="4"/>
  <c r="E7" i="4"/>
  <c r="E28" i="4"/>
  <c r="F28" i="4"/>
  <c r="F12" i="4"/>
  <c r="E12" i="4"/>
  <c r="K15" i="12"/>
  <c r="N15" i="12"/>
  <c r="H15" i="12"/>
  <c r="I15" i="12"/>
  <c r="L15" i="12"/>
  <c r="J15" i="12"/>
  <c r="M15" i="12"/>
  <c r="M18" i="12"/>
  <c r="K18" i="12"/>
  <c r="I18" i="12"/>
  <c r="H18" i="12"/>
  <c r="L18" i="12"/>
  <c r="J18" i="12"/>
  <c r="N18" i="12"/>
  <c r="G17" i="4"/>
  <c r="H23" i="4"/>
  <c r="G30" i="4"/>
  <c r="G37" i="4"/>
  <c r="H15" i="4"/>
  <c r="G18" i="4"/>
  <c r="H38" i="4"/>
  <c r="G10" i="4"/>
  <c r="H35" i="4"/>
  <c r="H24" i="4"/>
  <c r="G7" i="4"/>
  <c r="H40" i="4"/>
  <c r="G12" i="4"/>
  <c r="G21" i="4"/>
  <c r="G22" i="4"/>
  <c r="G27" i="4"/>
  <c r="H29" i="4"/>
  <c r="G36" i="4"/>
  <c r="G8" i="4"/>
  <c r="G34" i="4"/>
  <c r="G33" i="4"/>
  <c r="G16" i="4"/>
  <c r="G11" i="4"/>
  <c r="G9" i="4"/>
  <c r="G26" i="4"/>
  <c r="G32" i="4"/>
  <c r="G19" i="4"/>
  <c r="G31" i="4"/>
  <c r="G13" i="4"/>
  <c r="G20" i="4"/>
  <c r="G28" i="4"/>
  <c r="G6" i="4"/>
  <c r="H14" i="4"/>
  <c r="G39" i="4"/>
  <c r="G5" i="4"/>
  <c r="G25" i="4"/>
  <c r="H17" i="4"/>
  <c r="O15" i="12" l="1"/>
  <c r="O18" i="12"/>
  <c r="N16" i="12"/>
  <c r="M16" i="12"/>
  <c r="J16" i="12"/>
  <c r="H16" i="12"/>
  <c r="L16" i="12"/>
  <c r="I16" i="12"/>
  <c r="K16" i="12"/>
  <c r="H32" i="4"/>
  <c r="H7" i="4"/>
  <c r="H21" i="4"/>
  <c r="H20" i="4"/>
  <c r="H28" i="4"/>
  <c r="H36" i="4"/>
  <c r="H6" i="4"/>
  <c r="H25" i="4"/>
  <c r="H34" i="4"/>
  <c r="H39" i="4"/>
  <c r="H5" i="4"/>
  <c r="H11" i="4"/>
  <c r="H16" i="4"/>
  <c r="H18" i="4"/>
  <c r="H33" i="4"/>
  <c r="H26" i="4"/>
  <c r="H30" i="4"/>
  <c r="H10" i="4"/>
  <c r="H22" i="4"/>
  <c r="H19" i="4"/>
  <c r="H12" i="4"/>
  <c r="H37" i="4"/>
  <c r="H27" i="4"/>
  <c r="H31" i="4"/>
  <c r="H8" i="4"/>
  <c r="H13" i="4"/>
  <c r="H9" i="4"/>
  <c r="K5" i="4" l="1"/>
  <c r="F38" i="11"/>
  <c r="F42" i="11" s="1"/>
  <c r="F43" i="11" s="1"/>
  <c r="C38" i="11"/>
  <c r="O16" i="12"/>
  <c r="L5" i="4" l="1"/>
  <c r="F4" i="5" s="1"/>
  <c r="F6" i="5" s="1"/>
  <c r="C43" i="13" s="1"/>
  <c r="F3" i="5"/>
  <c r="C42" i="11"/>
  <c r="C43" i="11" s="1"/>
  <c r="C44" i="11" s="1"/>
  <c r="B38" i="11"/>
  <c r="B42" i="11" s="1"/>
  <c r="B43" i="11" s="1"/>
  <c r="B44" i="11" s="1"/>
  <c r="F44" i="11"/>
  <c r="D38" i="11"/>
  <c r="O5" i="4" l="1"/>
  <c r="F7" i="5" s="1"/>
  <c r="C53" i="13" s="1"/>
  <c r="C58" i="13" s="1"/>
  <c r="D58" i="13" s="1"/>
  <c r="F45" i="11"/>
  <c r="F46" i="11"/>
  <c r="D42" i="11"/>
  <c r="D43" i="11" s="1"/>
  <c r="B2" i="11"/>
  <c r="E35" i="11" s="1"/>
  <c r="E25" i="11" s="1"/>
  <c r="E16" i="11" s="1"/>
  <c r="D43" i="13"/>
  <c r="C44" i="13"/>
  <c r="G20" i="12" s="1"/>
  <c r="F8" i="5" l="1"/>
  <c r="F10" i="5" s="1"/>
  <c r="D53" i="13"/>
  <c r="D44" i="11"/>
  <c r="D46" i="11" s="1"/>
  <c r="D45" i="11"/>
  <c r="E31" i="11"/>
  <c r="E33" i="11" s="1"/>
  <c r="E19" i="11"/>
  <c r="K20" i="12"/>
  <c r="H20" i="12"/>
  <c r="N20" i="12"/>
  <c r="J20" i="12"/>
  <c r="M20" i="12"/>
  <c r="I20" i="12"/>
  <c r="L20" i="12"/>
  <c r="D44" i="13"/>
  <c r="C51" i="13"/>
  <c r="D51" i="13" s="1"/>
  <c r="C65" i="13"/>
  <c r="D65" i="13" s="1"/>
  <c r="C60" i="13"/>
  <c r="C63" i="13" s="1"/>
  <c r="C64" i="13"/>
  <c r="D64" i="13" s="1"/>
  <c r="E40" i="11" l="1"/>
  <c r="E41" i="11"/>
  <c r="E26" i="11"/>
  <c r="E36" i="11"/>
  <c r="O20" i="12"/>
  <c r="C62" i="13" s="1"/>
  <c r="F9" i="5" s="1"/>
  <c r="D60" i="13"/>
  <c r="D62" i="13" l="1"/>
  <c r="F11" i="5"/>
  <c r="F13" i="5" s="1"/>
  <c r="E39" i="11"/>
  <c r="G17" i="12"/>
  <c r="D63" i="13"/>
  <c r="C66" i="13"/>
  <c r="H17" i="12" l="1"/>
  <c r="L17" i="12"/>
  <c r="J17" i="12"/>
  <c r="M17" i="12"/>
  <c r="N17" i="12"/>
  <c r="K17" i="12"/>
  <c r="I17" i="12"/>
  <c r="C67" i="13"/>
  <c r="D66" i="13"/>
  <c r="O17" i="12" l="1"/>
  <c r="E38" i="11" s="1"/>
  <c r="E42" i="11" s="1"/>
  <c r="E43" i="11" s="1"/>
  <c r="C68" i="13"/>
  <c r="D68" i="13" s="1"/>
  <c r="D67" i="13"/>
  <c r="E44" i="11" l="1"/>
  <c r="E46" i="11" s="1"/>
  <c r="E45" i="11"/>
</calcChain>
</file>

<file path=xl/sharedStrings.xml><?xml version="1.0" encoding="utf-8"?>
<sst xmlns="http://schemas.openxmlformats.org/spreadsheetml/2006/main" count="309" uniqueCount="162">
  <si>
    <t>Month</t>
  </si>
  <si>
    <t>Base Pay</t>
  </si>
  <si>
    <t>Multiplier</t>
  </si>
  <si>
    <t>Average</t>
  </si>
  <si>
    <t>Single</t>
  </si>
  <si>
    <t>Married</t>
  </si>
  <si>
    <t>Child Only</t>
  </si>
  <si>
    <t>Additional Child</t>
  </si>
  <si>
    <t>Disability Rating</t>
  </si>
  <si>
    <t>Family Status</t>
  </si>
  <si>
    <t>Total Children</t>
  </si>
  <si>
    <t>Monthly Disability Pay</t>
  </si>
  <si>
    <t>Montly Retirement Pay</t>
  </si>
  <si>
    <t>Basic Active Service Date (BASD)</t>
  </si>
  <si>
    <t>Retirement Effective Date</t>
  </si>
  <si>
    <t>Number of Minor Dependents</t>
  </si>
  <si>
    <t>State Tax Rate (On Military Retirement)</t>
  </si>
  <si>
    <t>Months After 20 Years</t>
  </si>
  <si>
    <t>Retirement Multiplier</t>
  </si>
  <si>
    <t>High 3 Average</t>
  </si>
  <si>
    <t>Retirement Base Pay</t>
  </si>
  <si>
    <t>Disability Amount</t>
  </si>
  <si>
    <t>Total Taxes (State and Fed)</t>
  </si>
  <si>
    <t>SBP Cost</t>
  </si>
  <si>
    <t>x</t>
  </si>
  <si>
    <t>Disability Offset</t>
  </si>
  <si>
    <t>-</t>
  </si>
  <si>
    <t>Total Retirement Pay</t>
  </si>
  <si>
    <t>Total Retirement Benefit</t>
  </si>
  <si>
    <t>Total Taxable Benefit</t>
  </si>
  <si>
    <t>+</t>
  </si>
  <si>
    <t>Total Montly Payment</t>
  </si>
  <si>
    <t>Retirement Payments</t>
  </si>
  <si>
    <t>O-5</t>
  </si>
  <si>
    <t>O-4</t>
  </si>
  <si>
    <t>W-5</t>
  </si>
  <si>
    <t>W-4</t>
  </si>
  <si>
    <t>W-3</t>
  </si>
  <si>
    <t>W-2</t>
  </si>
  <si>
    <t>W-1</t>
  </si>
  <si>
    <t>E-9</t>
  </si>
  <si>
    <t>E-8</t>
  </si>
  <si>
    <t>E-7</t>
  </si>
  <si>
    <t>E-6</t>
  </si>
  <si>
    <t>E-5</t>
  </si>
  <si>
    <t>E-4</t>
  </si>
  <si>
    <t>E-3</t>
  </si>
  <si>
    <t>E-2</t>
  </si>
  <si>
    <t>O-10</t>
  </si>
  <si>
    <t>O-9</t>
  </si>
  <si>
    <t>O-8</t>
  </si>
  <si>
    <t>O-7</t>
  </si>
  <si>
    <t>O-6</t>
  </si>
  <si>
    <t>O-3</t>
  </si>
  <si>
    <t>O-2</t>
  </si>
  <si>
    <t>O-1</t>
  </si>
  <si>
    <t>E-1</t>
  </si>
  <si>
    <t>Date of Last Promotion</t>
  </si>
  <si>
    <t>Year</t>
  </si>
  <si>
    <t>Pay Chart Year</t>
  </si>
  <si>
    <t>Rank at Retirement</t>
  </si>
  <si>
    <t>Grade</t>
  </si>
  <si>
    <t>Pay Chart Table Name</t>
  </si>
  <si>
    <t>Column Index</t>
  </si>
  <si>
    <t>Pay Chart Header Rows</t>
  </si>
  <si>
    <t>Married with Child</t>
  </si>
  <si>
    <t>BAH</t>
  </si>
  <si>
    <t>BAS</t>
  </si>
  <si>
    <t>State Tax Rate Before Retirment</t>
  </si>
  <si>
    <t>State Tax Rate After Retirement</t>
  </si>
  <si>
    <t>Federal Taxes</t>
  </si>
  <si>
    <t>State Taxes</t>
  </si>
  <si>
    <t>Social Security</t>
  </si>
  <si>
    <t>Medicare</t>
  </si>
  <si>
    <t>Total Income</t>
  </si>
  <si>
    <t>Difference</t>
  </si>
  <si>
    <t>Medical</t>
  </si>
  <si>
    <t>401K</t>
  </si>
  <si>
    <t>401K Contribution</t>
  </si>
  <si>
    <t>Calculated Equivilent</t>
  </si>
  <si>
    <t>Insurance</t>
  </si>
  <si>
    <t>Playground</t>
  </si>
  <si>
    <t>Social Security/Medicare</t>
  </si>
  <si>
    <t>Retirement Pay Variables</t>
  </si>
  <si>
    <t>Income Planning Variables</t>
  </si>
  <si>
    <t>Monthly</t>
  </si>
  <si>
    <t>This sheet contains no editable fields.  No changes are required.</t>
  </si>
  <si>
    <t>Pre-Tax Deductions</t>
  </si>
  <si>
    <t>Transportation</t>
  </si>
  <si>
    <t>Child Care</t>
  </si>
  <si>
    <t>Total Pre-Tax Deductions</t>
  </si>
  <si>
    <t>Taxes</t>
  </si>
  <si>
    <t>Taxable Income</t>
  </si>
  <si>
    <t>Total Taxes</t>
  </si>
  <si>
    <t>Federal Tax Deduction</t>
  </si>
  <si>
    <t>Yearly Take Home Pay</t>
  </si>
  <si>
    <t>Head of Household</t>
  </si>
  <si>
    <t>Joint</t>
  </si>
  <si>
    <t>Total</t>
  </si>
  <si>
    <t>Filing Status</t>
  </si>
  <si>
    <t>Status</t>
  </si>
  <si>
    <t>Column</t>
  </si>
  <si>
    <t>Pre-Retirement</t>
  </si>
  <si>
    <t>Not Adjusted</t>
  </si>
  <si>
    <t>Equivalent</t>
  </si>
  <si>
    <t>Pre-Tax Transportation</t>
  </si>
  <si>
    <t>Pre-Tax Child Care</t>
  </si>
  <si>
    <t>Monthly Take Home</t>
  </si>
  <si>
    <t>Name</t>
  </si>
  <si>
    <t>Rank at Seperation</t>
  </si>
  <si>
    <t>Will you Retire?</t>
  </si>
  <si>
    <t>Seperation Date</t>
  </si>
  <si>
    <t>Family Status (For Disability Purposes)</t>
  </si>
  <si>
    <t>Number of Minor Dependents (for Disability Purposes)</t>
  </si>
  <si>
    <t>Yes</t>
  </si>
  <si>
    <t>No</t>
  </si>
  <si>
    <t>Do you Expect to Collect Disability?</t>
  </si>
  <si>
    <t>Federal Income Tax Deduction</t>
  </si>
  <si>
    <t>Transportation Fund</t>
  </si>
  <si>
    <t>Basic Information</t>
  </si>
  <si>
    <t>Base Salary</t>
  </si>
  <si>
    <t>Bonuses</t>
  </si>
  <si>
    <t>Assignment Incentive Pay</t>
  </si>
  <si>
    <t>Others</t>
  </si>
  <si>
    <t>Basic Allowance for Housing (BAH)</t>
  </si>
  <si>
    <t>Basic Allowance for Subsistance (BAS)</t>
  </si>
  <si>
    <t>Military Income (Taxible) (Monthly)</t>
  </si>
  <si>
    <t>Military Income (Non-Taxible) (Monthly)</t>
  </si>
  <si>
    <t>Federal Income Tax Filing Status</t>
  </si>
  <si>
    <t>Will You Utilize SRB</t>
  </si>
  <si>
    <t>Salary</t>
  </si>
  <si>
    <t>Other Taxible Income</t>
  </si>
  <si>
    <t>Bonuses and other Incentives</t>
  </si>
  <si>
    <t>Bonuses/Incentives</t>
  </si>
  <si>
    <t>Other</t>
  </si>
  <si>
    <t>Non-Taxable Income</t>
  </si>
  <si>
    <t>Total Taxable Income</t>
  </si>
  <si>
    <t>Total Non-Taxable Income</t>
  </si>
  <si>
    <t>Adjusted Taxable Income</t>
  </si>
  <si>
    <t>Federal Deduction (Standard or Itemized)</t>
  </si>
  <si>
    <t>Retirement Pay</t>
  </si>
  <si>
    <t>VA Disability</t>
  </si>
  <si>
    <t>Post-Seperation</t>
  </si>
  <si>
    <t>401K Contribution (Percent of Base)</t>
  </si>
  <si>
    <t>Health/Dental Insurance</t>
  </si>
  <si>
    <t>SBP</t>
  </si>
  <si>
    <t>Is Military Retirement Taxed by State</t>
  </si>
  <si>
    <t>Summary Pre-Retirement</t>
  </si>
  <si>
    <t>Summary Post Seperation</t>
  </si>
  <si>
    <t>Yearly (Pre-Seperation)</t>
  </si>
  <si>
    <t>Marginal Federal Tax Rate</t>
  </si>
  <si>
    <t>Calculated Adjusted Income</t>
  </si>
  <si>
    <t>Calculated Total Income</t>
  </si>
  <si>
    <t>Yearly Take Home Difference</t>
  </si>
  <si>
    <t>Monthly Take Home Difference</t>
  </si>
  <si>
    <t>401K Percetage (Playground Only)</t>
  </si>
  <si>
    <t>Will You Utilize SBP</t>
  </si>
  <si>
    <t>Post Separation Pre-Tax Contributions (Yearly)</t>
  </si>
  <si>
    <t>Post Separation Employment Pay (Yearly)</t>
  </si>
  <si>
    <t>State Income Tax Rate (Pre-Separation)</t>
  </si>
  <si>
    <t>State Income Tax Rate (Post-Separation)</t>
  </si>
  <si>
    <t>Yearly(Post-Separation Not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</si>
</sst>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ABA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44" fontId="0" fillId="0" borderId="0" xfId="1" applyFont="1" applyFill="1"/>
    <xf numFmtId="164" fontId="0" fillId="0" borderId="0" xfId="2" applyNumberFormat="1" applyFont="1" applyBorder="1"/>
    <xf numFmtId="44" fontId="0" fillId="0" borderId="4" xfId="0" applyNumberFormat="1" applyBorder="1"/>
    <xf numFmtId="0" fontId="0" fillId="0" borderId="4" xfId="0" applyFont="1" applyBorder="1"/>
    <xf numFmtId="44" fontId="2" fillId="2" borderId="0" xfId="0" applyNumberFormat="1" applyFont="1" applyFill="1"/>
    <xf numFmtId="0" fontId="0" fillId="0" borderId="1" xfId="0" applyFont="1" applyBorder="1"/>
    <xf numFmtId="0" fontId="3" fillId="0" borderId="0" xfId="0" applyFont="1" applyBorder="1"/>
    <xf numFmtId="0" fontId="0" fillId="0" borderId="7" xfId="0" applyFont="1" applyBorder="1"/>
    <xf numFmtId="44" fontId="3" fillId="3" borderId="6" xfId="0" applyNumberFormat="1" applyFont="1" applyFill="1" applyBorder="1"/>
    <xf numFmtId="0" fontId="3" fillId="3" borderId="1" xfId="0" applyFont="1" applyFill="1" applyBorder="1"/>
    <xf numFmtId="0" fontId="0" fillId="0" borderId="0" xfId="0" applyAlignment="1"/>
    <xf numFmtId="0" fontId="5" fillId="4" borderId="1" xfId="0" applyFont="1" applyFill="1" applyBorder="1" applyAlignment="1">
      <alignment horizontal="left" vertical="top"/>
    </xf>
    <xf numFmtId="4" fontId="4" fillId="4" borderId="1" xfId="0" applyNumberFormat="1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left" vertical="center"/>
    </xf>
    <xf numFmtId="4" fontId="0" fillId="0" borderId="1" xfId="0" applyNumberFormat="1" applyBorder="1"/>
    <xf numFmtId="4" fontId="0" fillId="0" borderId="1" xfId="0" applyNumberFormat="1" applyBorder="1" applyAlignment="1"/>
    <xf numFmtId="4" fontId="0" fillId="0" borderId="1" xfId="0" applyNumberFormat="1" applyBorder="1" applyAlignment="1">
      <alignment horizontal="right"/>
    </xf>
    <xf numFmtId="4" fontId="4" fillId="4" borderId="1" xfId="0" applyNumberFormat="1" applyFont="1" applyFill="1" applyBorder="1" applyAlignment="1">
      <alignment horizontal="right" vertical="top"/>
    </xf>
    <xf numFmtId="4" fontId="4" fillId="4" borderId="1" xfId="0" applyNumberFormat="1" applyFont="1" applyFill="1" applyBorder="1" applyAlignment="1">
      <alignment horizontal="right" vertical="center"/>
    </xf>
    <xf numFmtId="0" fontId="0" fillId="0" borderId="0" xfId="0" applyFill="1"/>
    <xf numFmtId="4" fontId="4" fillId="4" borderId="8" xfId="0" applyNumberFormat="1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left" vertical="top" wrapText="1"/>
    </xf>
    <xf numFmtId="4" fontId="4" fillId="4" borderId="8" xfId="0" applyNumberFormat="1" applyFont="1" applyFill="1" applyBorder="1" applyAlignment="1">
      <alignment horizontal="left" vertical="top" wrapText="1"/>
    </xf>
    <xf numFmtId="44" fontId="0" fillId="0" borderId="0" xfId="0" applyNumberFormat="1"/>
    <xf numFmtId="44" fontId="3" fillId="3" borderId="0" xfId="0" applyNumberFormat="1" applyFont="1" applyFill="1" applyBorder="1"/>
    <xf numFmtId="44" fontId="0" fillId="5" borderId="1" xfId="1" applyFont="1" applyFill="1" applyBorder="1" applyProtection="1">
      <protection locked="0"/>
    </xf>
    <xf numFmtId="15" fontId="0" fillId="5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9" fontId="0" fillId="5" borderId="1" xfId="2" applyFont="1" applyFill="1" applyBorder="1" applyProtection="1">
      <protection locked="0"/>
    </xf>
    <xf numFmtId="0" fontId="3" fillId="0" borderId="0" xfId="0" applyFont="1" applyAlignment="1"/>
    <xf numFmtId="9" fontId="0" fillId="0" borderId="0" xfId="2" applyFont="1" applyFill="1"/>
    <xf numFmtId="17" fontId="0" fillId="0" borderId="0" xfId="0" applyNumberFormat="1" applyFill="1"/>
    <xf numFmtId="9" fontId="0" fillId="0" borderId="0" xfId="2" applyFont="1"/>
    <xf numFmtId="0" fontId="0" fillId="0" borderId="0" xfId="0" applyNumberFormat="1" applyFill="1"/>
    <xf numFmtId="1" fontId="0" fillId="0" borderId="0" xfId="0" applyNumberFormat="1" applyFill="1"/>
    <xf numFmtId="164" fontId="0" fillId="0" borderId="0" xfId="2" applyNumberFormat="1" applyFont="1" applyFill="1"/>
    <xf numFmtId="44" fontId="0" fillId="0" borderId="0" xfId="0" applyNumberFormat="1" applyFill="1"/>
    <xf numFmtId="14" fontId="0" fillId="5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0" xfId="0" applyProtection="1"/>
    <xf numFmtId="44" fontId="0" fillId="5" borderId="7" xfId="1" applyFont="1" applyFill="1" applyBorder="1" applyProtection="1">
      <protection locked="0"/>
    </xf>
    <xf numFmtId="15" fontId="0" fillId="0" borderId="1" xfId="0" applyNumberFormat="1" applyFill="1" applyBorder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15" fontId="0" fillId="0" borderId="0" xfId="0" applyNumberFormat="1" applyFill="1" applyBorder="1" applyProtection="1"/>
    <xf numFmtId="15" fontId="0" fillId="0" borderId="0" xfId="0" applyNumberFormat="1" applyProtection="1"/>
    <xf numFmtId="0" fontId="0" fillId="0" borderId="1" xfId="0" applyFill="1" applyBorder="1" applyProtection="1"/>
    <xf numFmtId="44" fontId="0" fillId="0" borderId="0" xfId="1" applyFont="1" applyFill="1" applyBorder="1" applyProtection="1"/>
    <xf numFmtId="44" fontId="0" fillId="0" borderId="0" xfId="1" applyFont="1" applyProtection="1"/>
    <xf numFmtId="9" fontId="0" fillId="0" borderId="0" xfId="2" applyFont="1" applyFill="1" applyBorder="1" applyProtection="1"/>
    <xf numFmtId="9" fontId="0" fillId="0" borderId="0" xfId="0" applyNumberFormat="1" applyProtection="1"/>
    <xf numFmtId="14" fontId="0" fillId="0" borderId="0" xfId="0" applyNumberFormat="1" applyFill="1" applyBorder="1" applyProtection="1"/>
    <xf numFmtId="14" fontId="0" fillId="0" borderId="0" xfId="0" applyNumberFormat="1" applyProtection="1"/>
    <xf numFmtId="9" fontId="0" fillId="0" borderId="0" xfId="2" applyFont="1" applyProtection="1"/>
    <xf numFmtId="15" fontId="0" fillId="0" borderId="0" xfId="2" applyNumberFormat="1" applyFont="1" applyProtection="1"/>
    <xf numFmtId="0" fontId="0" fillId="0" borderId="0" xfId="0" applyNumberFormat="1" applyFill="1" applyBorder="1" applyProtection="1"/>
    <xf numFmtId="0" fontId="3" fillId="0" borderId="0" xfId="0" applyFont="1" applyFill="1" applyBorder="1" applyAlignment="1" applyProtection="1">
      <alignment horizontal="center"/>
    </xf>
    <xf numFmtId="44" fontId="0" fillId="0" borderId="0" xfId="1" applyFont="1" applyBorder="1" applyProtection="1"/>
    <xf numFmtId="44" fontId="0" fillId="0" borderId="1" xfId="1" applyFont="1" applyBorder="1" applyProtection="1"/>
    <xf numFmtId="44" fontId="0" fillId="2" borderId="7" xfId="1" applyFont="1" applyFill="1" applyBorder="1" applyProtection="1"/>
    <xf numFmtId="44" fontId="0" fillId="0" borderId="7" xfId="1" applyFont="1" applyBorder="1" applyProtection="1"/>
    <xf numFmtId="44" fontId="3" fillId="7" borderId="9" xfId="1" applyFont="1" applyFill="1" applyBorder="1" applyProtection="1"/>
    <xf numFmtId="44" fontId="0" fillId="7" borderId="9" xfId="1" applyFont="1" applyFill="1" applyBorder="1" applyProtection="1"/>
    <xf numFmtId="44" fontId="0" fillId="2" borderId="1" xfId="1" applyFont="1" applyFill="1" applyBorder="1" applyProtection="1"/>
    <xf numFmtId="44" fontId="3" fillId="7" borderId="10" xfId="1" applyFont="1" applyFill="1" applyBorder="1" applyProtection="1"/>
    <xf numFmtId="44" fontId="0" fillId="7" borderId="10" xfId="1" applyFont="1" applyFill="1" applyBorder="1" applyProtection="1"/>
    <xf numFmtId="44" fontId="0" fillId="8" borderId="9" xfId="1" applyFont="1" applyFill="1" applyBorder="1" applyProtection="1"/>
    <xf numFmtId="44" fontId="0" fillId="0" borderId="11" xfId="1" applyFont="1" applyBorder="1" applyProtection="1"/>
    <xf numFmtId="44" fontId="3" fillId="8" borderId="10" xfId="1" applyFont="1" applyFill="1" applyBorder="1" applyProtection="1"/>
    <xf numFmtId="44" fontId="0" fillId="8" borderId="10" xfId="1" applyFont="1" applyFill="1" applyBorder="1" applyProtection="1"/>
    <xf numFmtId="44" fontId="3" fillId="7" borderId="1" xfId="1" applyFont="1" applyFill="1" applyBorder="1" applyProtection="1"/>
    <xf numFmtId="44" fontId="0" fillId="7" borderId="1" xfId="1" applyFont="1" applyFill="1" applyBorder="1" applyProtection="1"/>
    <xf numFmtId="15" fontId="0" fillId="0" borderId="1" xfId="0" applyNumberFormat="1" applyFill="1" applyBorder="1" applyProtection="1"/>
    <xf numFmtId="0" fontId="0" fillId="0" borderId="1" xfId="0" applyNumberFormat="1" applyFill="1" applyBorder="1" applyProtection="1"/>
    <xf numFmtId="9" fontId="0" fillId="0" borderId="1" xfId="2" applyFont="1" applyFill="1" applyBorder="1" applyProtection="1"/>
    <xf numFmtId="44" fontId="0" fillId="0" borderId="0" xfId="0" applyNumberFormat="1" applyFill="1" applyBorder="1"/>
    <xf numFmtId="0" fontId="3" fillId="0" borderId="1" xfId="0" applyFont="1" applyBorder="1" applyAlignment="1" applyProtection="1">
      <alignment horizontal="center"/>
    </xf>
    <xf numFmtId="10" fontId="0" fillId="5" borderId="1" xfId="2" applyNumberFormat="1" applyFont="1" applyFill="1" applyBorder="1" applyProtection="1">
      <protection locked="0"/>
    </xf>
    <xf numFmtId="10" fontId="0" fillId="0" borderId="0" xfId="0" applyNumberFormat="1" applyProtection="1"/>
    <xf numFmtId="0" fontId="0" fillId="3" borderId="1" xfId="0" applyFill="1" applyBorder="1" applyAlignment="1" applyProtection="1">
      <alignment horizontal="center"/>
    </xf>
    <xf numFmtId="0" fontId="3" fillId="6" borderId="1" xfId="0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2" fontId="4" fillId="4" borderId="8" xfId="0" applyNumberFormat="1" applyFont="1" applyFill="1" applyBorder="1" applyAlignment="1">
      <alignment horizontal="left"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1" xfId="0" applyFont="1" applyFill="1" applyBorder="1" applyAlignment="1" applyProtection="1">
      <alignment wrapText="1"/>
    </xf>
    <xf numFmtId="10" fontId="0" fillId="0" borderId="1" xfId="2" applyNumberFormat="1" applyFont="1" applyFill="1" applyBorder="1" applyProtection="1"/>
    <xf numFmtId="0" fontId="3" fillId="0" borderId="1" xfId="0" applyFont="1" applyFill="1" applyBorder="1" applyProtection="1"/>
    <xf numFmtId="44" fontId="0" fillId="0" borderId="1" xfId="1" applyFont="1" applyFill="1" applyBorder="1" applyProtection="1"/>
    <xf numFmtId="0" fontId="3" fillId="0" borderId="0" xfId="0" applyFont="1" applyFill="1" applyBorder="1" applyProtection="1"/>
    <xf numFmtId="44" fontId="0" fillId="3" borderId="1" xfId="1" applyFont="1" applyFill="1" applyBorder="1" applyAlignment="1" applyProtection="1">
      <alignment horizontal="center"/>
    </xf>
    <xf numFmtId="44" fontId="3" fillId="0" borderId="9" xfId="1" applyFont="1" applyBorder="1" applyProtection="1"/>
    <xf numFmtId="44" fontId="0" fillId="2" borderId="9" xfId="1" applyFont="1" applyFill="1" applyBorder="1" applyProtection="1"/>
    <xf numFmtId="44" fontId="0" fillId="2" borderId="11" xfId="1" applyFont="1" applyFill="1" applyBorder="1" applyProtection="1"/>
    <xf numFmtId="44" fontId="0" fillId="0" borderId="9" xfId="1" applyFont="1" applyBorder="1" applyProtection="1"/>
    <xf numFmtId="0" fontId="0" fillId="2" borderId="1" xfId="0" applyFill="1" applyBorder="1" applyProtection="1"/>
    <xf numFmtId="44" fontId="3" fillId="0" borderId="1" xfId="0" applyNumberFormat="1" applyFont="1" applyBorder="1" applyProtection="1"/>
    <xf numFmtId="4" fontId="4" fillId="4" borderId="8" xfId="0" applyNumberFormat="1" applyFont="1" applyFill="1" applyBorder="1" applyAlignment="1" applyProtection="1">
      <alignment horizontal="left" vertical="top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FC7F0-E0A9-49E7-ABA1-614EACBA16BD}">
  <sheetPr>
    <tabColor rgb="FF00B050"/>
  </sheetPr>
  <dimension ref="A1:E68"/>
  <sheetViews>
    <sheetView tabSelected="1" zoomScaleNormal="100" workbookViewId="0">
      <selection activeCell="A13" sqref="A13"/>
    </sheetView>
  </sheetViews>
  <sheetFormatPr defaultRowHeight="15" x14ac:dyDescent="0.25"/>
  <cols>
    <col min="1" max="1" width="50.7109375" style="42" bestFit="1" customWidth="1"/>
    <col min="2" max="3" width="17.7109375" style="42" bestFit="1" customWidth="1"/>
    <col min="4" max="4" width="12.28515625" style="42" bestFit="1" customWidth="1"/>
    <col min="5" max="5" width="17.7109375" style="42" hidden="1" customWidth="1"/>
    <col min="6" max="16384" width="9.140625" style="42"/>
  </cols>
  <sheetData>
    <row r="1" spans="1:5" x14ac:dyDescent="0.25">
      <c r="A1" s="84" t="s">
        <v>119</v>
      </c>
      <c r="B1" s="84"/>
    </row>
    <row r="2" spans="1:5" x14ac:dyDescent="0.25">
      <c r="A2" s="45" t="s">
        <v>108</v>
      </c>
      <c r="B2" s="29"/>
      <c r="C2" s="46"/>
      <c r="D2" s="46"/>
    </row>
    <row r="3" spans="1:5" x14ac:dyDescent="0.25">
      <c r="A3" s="45" t="s">
        <v>109</v>
      </c>
      <c r="B3" s="29" t="s">
        <v>36</v>
      </c>
      <c r="C3" s="47"/>
      <c r="D3" s="47"/>
      <c r="E3" s="42" t="str">
        <f t="shared" ref="E3:E9" si="0">B3</f>
        <v>W-4</v>
      </c>
    </row>
    <row r="4" spans="1:5" x14ac:dyDescent="0.25">
      <c r="A4" s="45" t="s">
        <v>13</v>
      </c>
      <c r="B4" s="28">
        <v>36356</v>
      </c>
      <c r="C4" s="48"/>
      <c r="D4" s="48"/>
      <c r="E4" s="49">
        <f t="shared" si="0"/>
        <v>36356</v>
      </c>
    </row>
    <row r="5" spans="1:5" x14ac:dyDescent="0.25">
      <c r="A5" s="45" t="s">
        <v>111</v>
      </c>
      <c r="B5" s="28">
        <v>44075</v>
      </c>
      <c r="C5" s="48"/>
      <c r="D5" s="48"/>
      <c r="E5" s="49">
        <f t="shared" si="0"/>
        <v>44075</v>
      </c>
    </row>
    <row r="6" spans="1:5" x14ac:dyDescent="0.25">
      <c r="A6" s="45" t="s">
        <v>128</v>
      </c>
      <c r="B6" s="28" t="s">
        <v>97</v>
      </c>
      <c r="C6" s="48"/>
      <c r="D6" s="48"/>
      <c r="E6" s="49" t="str">
        <f t="shared" si="0"/>
        <v>Joint</v>
      </c>
    </row>
    <row r="7" spans="1:5" x14ac:dyDescent="0.25">
      <c r="A7" s="50" t="s">
        <v>117</v>
      </c>
      <c r="B7" s="27">
        <v>20000</v>
      </c>
      <c r="C7" s="51"/>
      <c r="D7" s="51"/>
      <c r="E7" s="52">
        <f t="shared" si="0"/>
        <v>20000</v>
      </c>
    </row>
    <row r="8" spans="1:5" x14ac:dyDescent="0.25">
      <c r="A8" s="45" t="s">
        <v>159</v>
      </c>
      <c r="B8" s="31">
        <v>0</v>
      </c>
      <c r="C8" s="53"/>
      <c r="D8" s="53"/>
      <c r="E8" s="54">
        <f t="shared" si="0"/>
        <v>0</v>
      </c>
    </row>
    <row r="9" spans="1:5" x14ac:dyDescent="0.25">
      <c r="A9" s="45" t="s">
        <v>160</v>
      </c>
      <c r="B9" s="81">
        <v>7.0999999999999994E-2</v>
      </c>
      <c r="C9" s="53"/>
      <c r="D9" s="53"/>
      <c r="E9" s="82">
        <f t="shared" si="0"/>
        <v>7.0999999999999994E-2</v>
      </c>
    </row>
    <row r="10" spans="1:5" x14ac:dyDescent="0.25">
      <c r="A10" s="45" t="s">
        <v>110</v>
      </c>
      <c r="B10" s="29" t="s">
        <v>114</v>
      </c>
      <c r="C10" s="47"/>
      <c r="D10" s="47"/>
    </row>
    <row r="11" spans="1:5" x14ac:dyDescent="0.25">
      <c r="A11" s="45" t="s">
        <v>57</v>
      </c>
      <c r="B11" s="40">
        <v>43435</v>
      </c>
      <c r="C11" s="55"/>
      <c r="D11" s="55"/>
      <c r="E11" s="56">
        <f>IF(B10="Yes",B11,"")</f>
        <v>43435</v>
      </c>
    </row>
    <row r="12" spans="1:5" x14ac:dyDescent="0.25">
      <c r="A12" s="45" t="s">
        <v>146</v>
      </c>
      <c r="B12" s="28" t="s">
        <v>114</v>
      </c>
      <c r="C12" s="53"/>
      <c r="D12" s="53"/>
      <c r="E12" s="57">
        <f>IF(AND(B12="Yes",B10="Yes"),E9,0)</f>
        <v>7.0999999999999994E-2</v>
      </c>
    </row>
    <row r="13" spans="1:5" x14ac:dyDescent="0.25">
      <c r="A13" s="45" t="s">
        <v>156</v>
      </c>
      <c r="B13" s="28" t="s">
        <v>114</v>
      </c>
      <c r="C13" s="48"/>
      <c r="D13" s="48"/>
      <c r="E13" s="58" t="str">
        <f>B13</f>
        <v>Yes</v>
      </c>
    </row>
    <row r="14" spans="1:5" x14ac:dyDescent="0.25">
      <c r="A14" s="45" t="s">
        <v>116</v>
      </c>
      <c r="B14" s="28" t="s">
        <v>114</v>
      </c>
      <c r="C14" s="48"/>
      <c r="D14" s="48"/>
    </row>
    <row r="15" spans="1:5" x14ac:dyDescent="0.25">
      <c r="A15" s="45" t="s">
        <v>8</v>
      </c>
      <c r="B15" s="30">
        <v>80</v>
      </c>
      <c r="C15" s="59"/>
      <c r="D15" s="59"/>
      <c r="E15" s="42">
        <f>IF(B14="Yes",B15,0)</f>
        <v>80</v>
      </c>
    </row>
    <row r="16" spans="1:5" x14ac:dyDescent="0.25">
      <c r="A16" s="45" t="s">
        <v>112</v>
      </c>
      <c r="B16" s="29" t="s">
        <v>65</v>
      </c>
      <c r="C16" s="47"/>
      <c r="D16" s="47"/>
      <c r="E16" s="42" t="str">
        <f>IF(B14="Yes",B16,"")</f>
        <v>Married with Child</v>
      </c>
    </row>
    <row r="17" spans="1:5" x14ac:dyDescent="0.25">
      <c r="A17" s="45" t="s">
        <v>113</v>
      </c>
      <c r="B17" s="29">
        <v>2</v>
      </c>
      <c r="C17" s="47"/>
      <c r="D17" s="47"/>
      <c r="E17" s="42">
        <f>IF(B14="Yes",B17,0)</f>
        <v>2</v>
      </c>
    </row>
    <row r="18" spans="1:5" x14ac:dyDescent="0.25">
      <c r="A18" s="84" t="s">
        <v>126</v>
      </c>
      <c r="B18" s="84"/>
      <c r="C18" s="60"/>
      <c r="D18" s="60"/>
    </row>
    <row r="19" spans="1:5" x14ac:dyDescent="0.25">
      <c r="A19" s="45" t="s">
        <v>120</v>
      </c>
      <c r="B19" s="27">
        <v>7309</v>
      </c>
      <c r="C19" s="51"/>
      <c r="D19" s="51"/>
      <c r="E19" s="42">
        <f>B19*12</f>
        <v>87708</v>
      </c>
    </row>
    <row r="20" spans="1:5" x14ac:dyDescent="0.25">
      <c r="A20" s="45" t="s">
        <v>121</v>
      </c>
      <c r="B20" s="27">
        <v>0</v>
      </c>
      <c r="C20" s="51"/>
      <c r="D20" s="51"/>
      <c r="E20" s="42">
        <f t="shared" ref="E20:E22" si="1">B20*12</f>
        <v>0</v>
      </c>
    </row>
    <row r="21" spans="1:5" x14ac:dyDescent="0.25">
      <c r="A21" s="45" t="s">
        <v>122</v>
      </c>
      <c r="B21" s="27">
        <v>200</v>
      </c>
      <c r="C21" s="51"/>
      <c r="D21" s="51"/>
      <c r="E21" s="42">
        <f t="shared" si="1"/>
        <v>2400</v>
      </c>
    </row>
    <row r="22" spans="1:5" x14ac:dyDescent="0.25">
      <c r="A22" s="45" t="s">
        <v>123</v>
      </c>
      <c r="B22" s="27">
        <v>0</v>
      </c>
      <c r="C22" s="51"/>
      <c r="D22" s="51"/>
      <c r="E22" s="42">
        <f t="shared" si="1"/>
        <v>0</v>
      </c>
    </row>
    <row r="23" spans="1:5" x14ac:dyDescent="0.25">
      <c r="A23" s="84" t="s">
        <v>127</v>
      </c>
      <c r="B23" s="84"/>
      <c r="C23" s="60"/>
      <c r="D23" s="60"/>
    </row>
    <row r="24" spans="1:5" x14ac:dyDescent="0.25">
      <c r="A24" s="45" t="s">
        <v>124</v>
      </c>
      <c r="B24" s="27">
        <v>2600</v>
      </c>
      <c r="C24" s="51"/>
      <c r="D24" s="51"/>
      <c r="E24" s="42">
        <f t="shared" ref="E24:E26" si="2">B24*12</f>
        <v>31200</v>
      </c>
    </row>
    <row r="25" spans="1:5" x14ac:dyDescent="0.25">
      <c r="A25" s="45" t="s">
        <v>125</v>
      </c>
      <c r="B25" s="27">
        <v>323</v>
      </c>
      <c r="C25" s="51"/>
      <c r="D25" s="51"/>
      <c r="E25" s="42">
        <f t="shared" si="2"/>
        <v>3876</v>
      </c>
    </row>
    <row r="26" spans="1:5" x14ac:dyDescent="0.25">
      <c r="A26" s="45" t="s">
        <v>123</v>
      </c>
      <c r="B26" s="27">
        <v>0</v>
      </c>
      <c r="C26" s="51"/>
      <c r="D26" s="51"/>
      <c r="E26" s="42">
        <f t="shared" si="2"/>
        <v>0</v>
      </c>
    </row>
    <row r="27" spans="1:5" x14ac:dyDescent="0.25">
      <c r="A27" s="84" t="s">
        <v>158</v>
      </c>
      <c r="B27" s="84"/>
      <c r="C27" s="60"/>
      <c r="D27" s="60"/>
    </row>
    <row r="28" spans="1:5" x14ac:dyDescent="0.25">
      <c r="A28" s="45" t="s">
        <v>130</v>
      </c>
      <c r="B28" s="27">
        <v>167000</v>
      </c>
      <c r="C28" s="51"/>
      <c r="D28" s="51"/>
      <c r="E28" s="42">
        <f t="shared" ref="E28:E30" si="3">B28</f>
        <v>167000</v>
      </c>
    </row>
    <row r="29" spans="1:5" x14ac:dyDescent="0.25">
      <c r="A29" s="45" t="s">
        <v>132</v>
      </c>
      <c r="B29" s="27">
        <v>0</v>
      </c>
      <c r="C29" s="51"/>
      <c r="D29" s="51"/>
      <c r="E29" s="42">
        <f t="shared" si="3"/>
        <v>0</v>
      </c>
    </row>
    <row r="30" spans="1:5" x14ac:dyDescent="0.25">
      <c r="A30" s="45" t="s">
        <v>131</v>
      </c>
      <c r="B30" s="27">
        <v>0</v>
      </c>
      <c r="C30" s="51"/>
      <c r="D30" s="51"/>
      <c r="E30" s="42">
        <f t="shared" si="3"/>
        <v>0</v>
      </c>
    </row>
    <row r="31" spans="1:5" x14ac:dyDescent="0.25">
      <c r="A31" s="84" t="s">
        <v>157</v>
      </c>
      <c r="B31" s="84"/>
      <c r="C31" s="60"/>
      <c r="D31" s="60"/>
    </row>
    <row r="32" spans="1:5" x14ac:dyDescent="0.25">
      <c r="A32" s="45" t="s">
        <v>143</v>
      </c>
      <c r="B32" s="31">
        <v>0.06</v>
      </c>
      <c r="C32" s="53"/>
      <c r="D32" s="53"/>
      <c r="E32" s="42">
        <f>B32</f>
        <v>0.06</v>
      </c>
    </row>
    <row r="33" spans="1:5" x14ac:dyDescent="0.25">
      <c r="A33" s="45" t="s">
        <v>144</v>
      </c>
      <c r="B33" s="27">
        <v>0</v>
      </c>
      <c r="C33" s="51"/>
      <c r="D33" s="51"/>
      <c r="E33" s="42">
        <f>B33</f>
        <v>0</v>
      </c>
    </row>
    <row r="34" spans="1:5" x14ac:dyDescent="0.25">
      <c r="A34" s="45" t="s">
        <v>118</v>
      </c>
      <c r="B34" s="27">
        <v>0</v>
      </c>
      <c r="C34" s="51"/>
      <c r="D34" s="51"/>
      <c r="E34" s="42">
        <f>B34</f>
        <v>0</v>
      </c>
    </row>
    <row r="35" spans="1:5" x14ac:dyDescent="0.25">
      <c r="A35" s="45" t="s">
        <v>89</v>
      </c>
      <c r="B35" s="27">
        <v>0</v>
      </c>
      <c r="C35" s="51"/>
      <c r="D35" s="51"/>
      <c r="E35" s="42">
        <f>B35</f>
        <v>0</v>
      </c>
    </row>
    <row r="36" spans="1:5" x14ac:dyDescent="0.25">
      <c r="A36" s="46"/>
      <c r="B36" s="61"/>
      <c r="C36" s="61"/>
      <c r="D36" s="61"/>
    </row>
    <row r="38" spans="1:5" x14ac:dyDescent="0.25">
      <c r="A38" s="45"/>
      <c r="B38" s="80" t="s">
        <v>102</v>
      </c>
      <c r="C38" s="80" t="s">
        <v>142</v>
      </c>
      <c r="D38" s="80" t="s">
        <v>75</v>
      </c>
    </row>
    <row r="39" spans="1:5" x14ac:dyDescent="0.25">
      <c r="A39" s="83" t="s">
        <v>92</v>
      </c>
      <c r="B39" s="83"/>
      <c r="C39" s="83"/>
      <c r="D39" s="83"/>
    </row>
    <row r="40" spans="1:5" x14ac:dyDescent="0.25">
      <c r="A40" s="45" t="s">
        <v>1</v>
      </c>
      <c r="B40" s="62">
        <f>E19</f>
        <v>87708</v>
      </c>
      <c r="C40" s="62">
        <f>E28</f>
        <v>167000</v>
      </c>
      <c r="D40" s="62">
        <f>C40-B40</f>
        <v>79292</v>
      </c>
    </row>
    <row r="41" spans="1:5" x14ac:dyDescent="0.25">
      <c r="A41" s="45" t="s">
        <v>133</v>
      </c>
      <c r="B41" s="62">
        <f>SUM(E20:E21)</f>
        <v>2400</v>
      </c>
      <c r="C41" s="62">
        <f>E29</f>
        <v>0</v>
      </c>
      <c r="D41" s="62">
        <f t="shared" ref="D41:D43" si="4">C41-B41</f>
        <v>-2400</v>
      </c>
    </row>
    <row r="42" spans="1:5" x14ac:dyDescent="0.25">
      <c r="A42" s="45" t="s">
        <v>134</v>
      </c>
      <c r="B42" s="62">
        <f>E22</f>
        <v>0</v>
      </c>
      <c r="C42" s="62">
        <f>E30</f>
        <v>0</v>
      </c>
      <c r="D42" s="62">
        <f t="shared" si="4"/>
        <v>0</v>
      </c>
    </row>
    <row r="43" spans="1:5" ht="15.75" thickBot="1" x14ac:dyDescent="0.3">
      <c r="A43" s="45" t="s">
        <v>140</v>
      </c>
      <c r="B43" s="63">
        <v>0</v>
      </c>
      <c r="C43" s="64">
        <f ca="1">IFERROR('Retirment Pay Summary'!F6*12,0)</f>
        <v>41973.469256756754</v>
      </c>
      <c r="D43" s="64">
        <f t="shared" ca="1" si="4"/>
        <v>41973.469256756754</v>
      </c>
    </row>
    <row r="44" spans="1:5" x14ac:dyDescent="0.25">
      <c r="A44" s="45" t="s">
        <v>136</v>
      </c>
      <c r="B44" s="65">
        <f>SUM(B40:B43)</f>
        <v>90108</v>
      </c>
      <c r="C44" s="65">
        <f ca="1">SUM(C40:C43)</f>
        <v>208973.46925675677</v>
      </c>
      <c r="D44" s="66">
        <f ca="1">C44-B44</f>
        <v>118865.46925675677</v>
      </c>
    </row>
    <row r="45" spans="1:5" x14ac:dyDescent="0.25">
      <c r="A45" s="83" t="s">
        <v>135</v>
      </c>
      <c r="B45" s="83"/>
      <c r="C45" s="83"/>
      <c r="D45" s="83"/>
    </row>
    <row r="46" spans="1:5" x14ac:dyDescent="0.25">
      <c r="A46" s="45" t="s">
        <v>66</v>
      </c>
      <c r="B46" s="62">
        <f>E24</f>
        <v>31200</v>
      </c>
      <c r="C46" s="67">
        <v>0</v>
      </c>
      <c r="D46" s="62">
        <f t="shared" ref="D46:D51" si="5">C46-B46</f>
        <v>-31200</v>
      </c>
    </row>
    <row r="47" spans="1:5" x14ac:dyDescent="0.25">
      <c r="A47" s="45" t="s">
        <v>67</v>
      </c>
      <c r="B47" s="62">
        <f>E25</f>
        <v>3876</v>
      </c>
      <c r="C47" s="67">
        <v>0</v>
      </c>
      <c r="D47" s="62">
        <f t="shared" si="5"/>
        <v>-3876</v>
      </c>
    </row>
    <row r="48" spans="1:5" x14ac:dyDescent="0.25">
      <c r="A48" s="45" t="s">
        <v>134</v>
      </c>
      <c r="B48" s="62">
        <f>E26</f>
        <v>0</v>
      </c>
      <c r="C48" s="67">
        <v>0</v>
      </c>
      <c r="D48" s="62">
        <f t="shared" si="5"/>
        <v>0</v>
      </c>
    </row>
    <row r="49" spans="1:4" ht="15.75" thickBot="1" x14ac:dyDescent="0.3">
      <c r="A49" s="45" t="s">
        <v>141</v>
      </c>
      <c r="B49" s="63">
        <v>0</v>
      </c>
      <c r="C49" s="64">
        <f>IFERROR('Retirment Pay Summary'!F12*12,0)</f>
        <v>23216.28</v>
      </c>
      <c r="D49" s="64">
        <f t="shared" si="5"/>
        <v>23216.28</v>
      </c>
    </row>
    <row r="50" spans="1:4" ht="15.75" thickBot="1" x14ac:dyDescent="0.3">
      <c r="A50" s="45" t="s">
        <v>137</v>
      </c>
      <c r="B50" s="68">
        <f>SUM(B46:B49)</f>
        <v>35076</v>
      </c>
      <c r="C50" s="68">
        <f>SUM(C46:C49)</f>
        <v>23216.28</v>
      </c>
      <c r="D50" s="69">
        <f t="shared" si="5"/>
        <v>-11859.720000000001</v>
      </c>
    </row>
    <row r="51" spans="1:4" ht="15.75" thickTop="1" x14ac:dyDescent="0.25">
      <c r="A51" s="45" t="s">
        <v>74</v>
      </c>
      <c r="B51" s="65">
        <f>B50+B44</f>
        <v>125184</v>
      </c>
      <c r="C51" s="65">
        <f ca="1">C50+C44</f>
        <v>232189.74925675677</v>
      </c>
      <c r="D51" s="66">
        <f t="shared" ca="1" si="5"/>
        <v>107005.74925675677</v>
      </c>
    </row>
    <row r="52" spans="1:4" x14ac:dyDescent="0.25">
      <c r="A52" s="83" t="s">
        <v>87</v>
      </c>
      <c r="B52" s="83"/>
      <c r="C52" s="83"/>
      <c r="D52" s="83"/>
    </row>
    <row r="53" spans="1:4" x14ac:dyDescent="0.25">
      <c r="A53" s="45" t="s">
        <v>145</v>
      </c>
      <c r="B53" s="67">
        <v>0</v>
      </c>
      <c r="C53" s="62">
        <f ca="1">IFERROR('Retirment Pay Summary'!F7*12,0)</f>
        <v>2728.2755016891892</v>
      </c>
      <c r="D53" s="62">
        <f t="shared" ref="D53:D60" ca="1" si="6">C53-B53</f>
        <v>2728.2755016891892</v>
      </c>
    </row>
    <row r="54" spans="1:4" x14ac:dyDescent="0.25">
      <c r="A54" s="45" t="s">
        <v>89</v>
      </c>
      <c r="B54" s="67">
        <v>0</v>
      </c>
      <c r="C54" s="62">
        <f>E35</f>
        <v>0</v>
      </c>
      <c r="D54" s="62">
        <f t="shared" si="6"/>
        <v>0</v>
      </c>
    </row>
    <row r="55" spans="1:4" x14ac:dyDescent="0.25">
      <c r="A55" s="45" t="s">
        <v>88</v>
      </c>
      <c r="B55" s="67">
        <v>0</v>
      </c>
      <c r="C55" s="62">
        <f>E34</f>
        <v>0</v>
      </c>
      <c r="D55" s="62">
        <f t="shared" si="6"/>
        <v>0</v>
      </c>
    </row>
    <row r="56" spans="1:4" x14ac:dyDescent="0.25">
      <c r="A56" s="45" t="s">
        <v>77</v>
      </c>
      <c r="B56" s="67">
        <v>0</v>
      </c>
      <c r="C56" s="62">
        <f>E28*E32</f>
        <v>10020</v>
      </c>
      <c r="D56" s="62">
        <f t="shared" si="6"/>
        <v>10020</v>
      </c>
    </row>
    <row r="57" spans="1:4" ht="15.75" thickBot="1" x14ac:dyDescent="0.3">
      <c r="A57" s="45" t="s">
        <v>76</v>
      </c>
      <c r="B57" s="67">
        <v>0</v>
      </c>
      <c r="C57" s="64">
        <f>E33</f>
        <v>0</v>
      </c>
      <c r="D57" s="64">
        <f t="shared" si="6"/>
        <v>0</v>
      </c>
    </row>
    <row r="58" spans="1:4" x14ac:dyDescent="0.25">
      <c r="A58" s="45" t="s">
        <v>90</v>
      </c>
      <c r="B58" s="67">
        <f>SUM(B53:B57)</f>
        <v>0</v>
      </c>
      <c r="C58" s="70">
        <f ca="1">SUM(C53:C57)</f>
        <v>12748.27550168919</v>
      </c>
      <c r="D58" s="70">
        <f t="shared" ca="1" si="6"/>
        <v>12748.27550168919</v>
      </c>
    </row>
    <row r="59" spans="1:4" ht="15.75" thickBot="1" x14ac:dyDescent="0.3">
      <c r="A59" s="45" t="s">
        <v>139</v>
      </c>
      <c r="B59" s="71">
        <f>E7</f>
        <v>20000</v>
      </c>
      <c r="C59" s="71">
        <f>E7</f>
        <v>20000</v>
      </c>
      <c r="D59" s="71">
        <f t="shared" si="6"/>
        <v>0</v>
      </c>
    </row>
    <row r="60" spans="1:4" ht="15.75" thickTop="1" x14ac:dyDescent="0.25">
      <c r="A60" s="45" t="s">
        <v>138</v>
      </c>
      <c r="B60" s="65">
        <f>B44-B58-B59</f>
        <v>70108</v>
      </c>
      <c r="C60" s="65">
        <f ca="1">C44-C58-C59</f>
        <v>176225.19375506759</v>
      </c>
      <c r="D60" s="66">
        <f t="shared" ca="1" si="6"/>
        <v>106117.19375506759</v>
      </c>
    </row>
    <row r="61" spans="1:4" x14ac:dyDescent="0.25">
      <c r="A61" s="83" t="s">
        <v>91</v>
      </c>
      <c r="B61" s="83"/>
      <c r="C61" s="83"/>
      <c r="D61" s="83"/>
    </row>
    <row r="62" spans="1:4" x14ac:dyDescent="0.25">
      <c r="A62" s="45" t="s">
        <v>70</v>
      </c>
      <c r="B62" s="62">
        <f>'Tax Brackets'!O19</f>
        <v>11541.099999999999</v>
      </c>
      <c r="C62" s="62">
        <f ca="1">'Tax Brackets'!O20</f>
        <v>38503.212621621627</v>
      </c>
      <c r="D62" s="62">
        <f t="shared" ref="D62:D68" ca="1" si="7">C62-B62</f>
        <v>26962.112621621629</v>
      </c>
    </row>
    <row r="63" spans="1:4" x14ac:dyDescent="0.25">
      <c r="A63" s="45" t="s">
        <v>71</v>
      </c>
      <c r="B63" s="62">
        <f>E8*B60</f>
        <v>0</v>
      </c>
      <c r="C63" s="62">
        <f ca="1">E9*C60</f>
        <v>12511.988756609799</v>
      </c>
      <c r="D63" s="62">
        <f t="shared" ca="1" si="7"/>
        <v>12511.988756609799</v>
      </c>
    </row>
    <row r="64" spans="1:4" x14ac:dyDescent="0.25">
      <c r="A64" s="45" t="s">
        <v>72</v>
      </c>
      <c r="B64" s="62">
        <f>(B44-B58)*0.062</f>
        <v>5586.6959999999999</v>
      </c>
      <c r="C64" s="62">
        <f ca="1">(C44-C58)*0.062</f>
        <v>12165.962012814191</v>
      </c>
      <c r="D64" s="62">
        <f t="shared" ca="1" si="7"/>
        <v>6579.2660128141906</v>
      </c>
    </row>
    <row r="65" spans="1:4" ht="15.75" thickBot="1" x14ac:dyDescent="0.3">
      <c r="A65" s="45" t="s">
        <v>73</v>
      </c>
      <c r="B65" s="64">
        <f>(B44-B58)*0.0145</f>
        <v>1306.566</v>
      </c>
      <c r="C65" s="64">
        <f ca="1">(C44-C58)*0.0145</f>
        <v>2845.2653094484804</v>
      </c>
      <c r="D65" s="64">
        <f t="shared" ca="1" si="7"/>
        <v>1538.6993094484803</v>
      </c>
    </row>
    <row r="66" spans="1:4" ht="15.75" thickBot="1" x14ac:dyDescent="0.3">
      <c r="A66" s="45" t="s">
        <v>93</v>
      </c>
      <c r="B66" s="72">
        <f>SUM(B62:B65)</f>
        <v>18434.361999999997</v>
      </c>
      <c r="C66" s="72">
        <f ca="1">SUM(C62:C65)</f>
        <v>66026.4287004941</v>
      </c>
      <c r="D66" s="73">
        <f t="shared" ca="1" si="7"/>
        <v>47592.066700494106</v>
      </c>
    </row>
    <row r="67" spans="1:4" ht="15.75" thickTop="1" x14ac:dyDescent="0.25">
      <c r="A67" s="45" t="s">
        <v>95</v>
      </c>
      <c r="B67" s="65">
        <f>(B44-B58-B66)+B50</f>
        <v>106749.63800000001</v>
      </c>
      <c r="C67" s="65">
        <f ca="1">(C44-C58-C66)+C50</f>
        <v>153415.04505457351</v>
      </c>
      <c r="D67" s="66">
        <f t="shared" ca="1" si="7"/>
        <v>46665.407054573501</v>
      </c>
    </row>
    <row r="68" spans="1:4" x14ac:dyDescent="0.25">
      <c r="A68" s="45" t="s">
        <v>107</v>
      </c>
      <c r="B68" s="74">
        <f>B67/12</f>
        <v>8895.8031666666666</v>
      </c>
      <c r="C68" s="74">
        <f ca="1">C67/12</f>
        <v>12784.587087881126</v>
      </c>
      <c r="D68" s="75">
        <f t="shared" ca="1" si="7"/>
        <v>3888.783921214459</v>
      </c>
    </row>
  </sheetData>
  <sheetProtection sheet="1" objects="1" scenarios="1"/>
  <mergeCells count="9">
    <mergeCell ref="A52:D52"/>
    <mergeCell ref="A45:D45"/>
    <mergeCell ref="A61:D61"/>
    <mergeCell ref="A31:B31"/>
    <mergeCell ref="A1:B1"/>
    <mergeCell ref="A18:B18"/>
    <mergeCell ref="A23:B23"/>
    <mergeCell ref="A27:B27"/>
    <mergeCell ref="A39:D39"/>
  </mergeCells>
  <conditionalFormatting sqref="A11:B13">
    <cfRule type="expression" dxfId="3" priority="2">
      <formula>NOT($B$10="Yes")</formula>
    </cfRule>
  </conditionalFormatting>
  <conditionalFormatting sqref="A15:B17">
    <cfRule type="expression" dxfId="2" priority="1">
      <formula>NOT($B$14="Yes")</formula>
    </cfRule>
  </conditionalFormatting>
  <dataValidations count="24">
    <dataValidation type="date" operator="greaterThanOrEqual" allowBlank="1" showInputMessage="1" showErrorMessage="1" errorTitle="Invalid Date" error="Please Enter a Valid Date" promptTitle="BASD" prompt="Please Enter the Date You Joined the Military" sqref="B4:D4" xr:uid="{8C46A083-2430-4749-82F3-B59B690BDEF8}">
      <formula1>1</formula1>
    </dataValidation>
    <dataValidation type="date" operator="greaterThanOrEqual" allowBlank="1" showInputMessage="1" showErrorMessage="1" errorTitle="Invalid Date" error="Please Enter a Valid Date" promptTitle="Seperation Date" prompt="Please Enter the Last Day You Will Be in the Military" sqref="B5:D5" xr:uid="{A21BF6D7-219E-492E-9754-F43174B1E381}">
      <formula1>1</formula1>
    </dataValidation>
    <dataValidation type="decimal" allowBlank="1" showInputMessage="1" showErrorMessage="1" errorTitle="Error" error="Enter a number between 0 and 99%" promptTitle="State Income Tax Rate" prompt="Enter the Income Tax Rate for the State You Pay Taxes in Currently." sqref="B8:D8" xr:uid="{2727CA38-E235-4FA6-8E5A-6259629C1B01}">
      <formula1>0</formula1>
      <formula2>0.99</formula2>
    </dataValidation>
    <dataValidation type="decimal" allowBlank="1" showInputMessage="1" showErrorMessage="1" errorTitle="Error" error="Enter a number between 0 and 99%." promptTitle="State Income Tax" prompt="Enter the Income Tax Rate for the State You Will Live in After Seperation." sqref="B9:D9" xr:uid="{B670BA80-3B91-443E-92A8-5A190F8DC83B}">
      <formula1>0</formula1>
      <formula2>0.99</formula2>
    </dataValidation>
    <dataValidation type="date" operator="greaterThanOrEqual" allowBlank="1" showInputMessage="1" showErrorMessage="1" errorTitle="Date Error" error="Enter a Valid Date" promptTitle="Promotion Date" prompt="What is the Date of your Last Promotion?" sqref="B11:D11" xr:uid="{C45EAC29-2212-4C1B-8A74-85284B9A493D}">
      <formula1>1</formula1>
    </dataValidation>
    <dataValidation type="decimal" allowBlank="1" showInputMessage="1" showErrorMessage="1" errorTitle="Error" error="Enter a number between 0 and 99%." promptTitle="State Tax on Retirement Pay" prompt="What is the State Tax Rate on Retirement Pay?" sqref="C12:D12" xr:uid="{FF4BB06F-E586-4702-A986-5097376F0209}">
      <formula1>0</formula1>
      <formula2>0.99</formula2>
    </dataValidation>
    <dataValidation type="whole" operator="greaterThanOrEqual" allowBlank="1" showInputMessage="1" showErrorMessage="1" errorTitle="Error" error="Enter the Number of Minor Dependants you have (for Disability Purposes)" promptTitle="Minor Dependants" prompt="Enter the Number of Minor Dependants you have (for Disability Purposes)" sqref="B17:D17 C24:D26 C19:D22 C28:D30" xr:uid="{2FE28404-7E6D-4684-BE66-3A2E4E70E788}">
      <formula1>0</formula1>
    </dataValidation>
    <dataValidation type="decimal" operator="greaterThanOrEqual" allowBlank="1" showInputMessage="1" showErrorMessage="1" sqref="C7:D7" xr:uid="{97D27AE6-3F77-42A1-B85A-8AA2934C2E15}">
      <formula1>0</formula1>
    </dataValidation>
    <dataValidation allowBlank="1" showInputMessage="1" showErrorMessage="1" promptTitle="Name" prompt="Enter You Name" sqref="B2" xr:uid="{6EB052DD-7356-47DC-B9EB-76C5E19C73DD}"/>
    <dataValidation type="decimal" operator="greaterThanOrEqual" allowBlank="1" showInputMessage="1" showErrorMessage="1" promptTitle="Federal Tax Deduction" prompt="Enter You Federal Income Tax Deduction" sqref="B7" xr:uid="{3607F007-CAC2-415A-B677-0045D33AB1C8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Base Pay" prompt="What is Your Base Pay" sqref="B19" xr:uid="{EE45C7DF-CCA2-42D4-907D-F723D03EAF56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Bonuses" prompt="Enter Any Bonuses You Recieve from the Military" sqref="B20" xr:uid="{E99E6F96-BD69-4C8D-B161-C94C77599781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AIP" prompt="Enter any Assignment Incentive Pay You Recieve" sqref="B21" xr:uid="{DA934A84-5B76-479C-B3C5-58C669F8726C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Other Income" prompt="Enter any other Taxible Income you Recieve" sqref="B22" xr:uid="{84C4D395-3D8C-4DD0-9A51-138EE80B1EFA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BAH" prompt="Enter Your Current Basic Allowance for Housing" sqref="B24" xr:uid="{B29CA0DE-D8B0-4861-9A3B-E978F2B001D1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BAS" prompt="Enter Your Basic Allowance for Subsistance" sqref="B25" xr:uid="{4005C8D4-1927-411B-8D26-9D26B169AF43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Other Income (Non-Taxible)" prompt="Enter any Other non-taxible Income you Recieve" sqref="B26" xr:uid="{72919586-1A88-4635-9802-7A6CAA8C3902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Post Seperation Salary" prompt="Enter You Post-Seperation Salary" sqref="B28" xr:uid="{BC78F30E-4653-420F-A489-698406034559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Post-Seperation Bonsues" prompt="Enter You Post-Seperation Bonuses" sqref="B29" xr:uid="{201A3B07-2503-4644-81F0-F3AC468D07E7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Post-Seperation Misc Income" prompt="Enter Any Other Post-Seperation Income" sqref="B30" xr:uid="{3D661934-E80F-47C7-9B98-9635FC336B2E}">
      <formula1>0</formula1>
    </dataValidation>
    <dataValidation type="decimal" allowBlank="1" showInputMessage="1" showErrorMessage="1" errorTitle="Invalid Value" error="This number must be between 0 and 100%" promptTitle="401K Contribution" prompt="Enter What % of Your Salary You Will Contribute to Your 401K" sqref="B32" xr:uid="{780F6D6E-9220-4D60-93BD-C3C7D87C8A95}">
      <formula1>0</formula1>
      <formula2>1</formula2>
    </dataValidation>
    <dataValidation allowBlank="1" showInputMessage="1" showErrorMessage="1" promptTitle="Medical/Dental Insurance" prompt="Enter the Yearly Amount of Your Medica/Dental Insurance (Pre-Tax Contributions Only)" sqref="B33" xr:uid="{3D3AE151-5A6D-4558-AAF2-78716CF87427}"/>
    <dataValidation allowBlank="1" showInputMessage="1" showErrorMessage="1" promptTitle="Transportation Fund" prompt="Enter the Yearly Amount of Your Transportation Fund (Pre-Tax Contributions Only)" sqref="B34" xr:uid="{2393A582-B6DF-44FC-B3E1-6C01E2E2E957}"/>
    <dataValidation allowBlank="1" showInputMessage="1" showErrorMessage="1" promptTitle="Child Care Fund" prompt="Enter the Yearly Amount of Your Child Care Fund (Pre-Tax Contributions Only)" sqref="B35" xr:uid="{4F9A70F3-9B5E-4C11-9565-83790B8B08F3}"/>
  </dataValidations>
  <pageMargins left="0.5" right="0.5" top="0.5" bottom="0.5" header="0.3" footer="0.3"/>
  <pageSetup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Title="Error" error="Select your family status (for Disability Purposes)" promptTitle="Family Status" prompt="Select your family status (for Disability Purposes)" xr:uid="{1F358CF3-A3E7-4779-A5E8-D0E96BA06BE0}">
          <x14:formula1>
            <xm:f>'Disability Payment'!$A$3:$A$7</xm:f>
          </x14:formula1>
          <xm:sqref>B16:D16</xm:sqref>
        </x14:dataValidation>
        <x14:dataValidation type="list" allowBlank="1" showInputMessage="1" showErrorMessage="1" errorTitle="Error" error="Enter your Rank on your Seperation Date" promptTitle="Rank" prompt="Enter your Rank on your Seperation Date" xr:uid="{494D6BA0-3933-45CB-B823-516908D72D11}">
          <x14:formula1>
            <xm:f>'2019 Pay Chart'!$A$2:$A$25</xm:f>
          </x14:formula1>
          <xm:sqref>B3:D3</xm:sqref>
        </x14:dataValidation>
        <x14:dataValidation type="list" allowBlank="1" showInputMessage="1" showErrorMessage="1" promptTitle="Disability" prompt="Will you collect VA disability?" xr:uid="{A035F1C1-40EF-4041-B767-66197CAC7DED}">
          <x14:formula1>
            <xm:f>'Retirement Pay Calculations'!$C$2:$D$2</xm:f>
          </x14:formula1>
          <xm:sqref>B14 C13:D14</xm:sqref>
        </x14:dataValidation>
        <x14:dataValidation type="list" allowBlank="1" showInputMessage="1" showErrorMessage="1" promptTitle="Seperation Type" prompt="Are you Retiring or just Seperating" xr:uid="{0FF3457B-629A-4CBB-AF34-D98329C3A2CD}">
          <x14:formula1>
            <xm:f>'Retirement Pay Calculations'!$C$2:$D$2</xm:f>
          </x14:formula1>
          <xm:sqref>B10:D10</xm:sqref>
        </x14:dataValidation>
        <x14:dataValidation type="list" allowBlank="1" showInputMessage="1" showErrorMessage="1" errorTitle="Error" error="Select your disability rating." promptTitle="Disability Rating" prompt="What is your Disability Rating?" xr:uid="{B2F08AB9-9B6A-48D3-8BB9-EA5BD0164E1B}">
          <x14:formula1>
            <xm:f>'Disability Payment'!$B$2:$L$2</xm:f>
          </x14:formula1>
          <xm:sqref>B15:D15</xm:sqref>
        </x14:dataValidation>
        <x14:dataValidation type="list" operator="greaterThanOrEqual" allowBlank="1" showInputMessage="1" showErrorMessage="1" errorTitle="Invalid Date" error="Please Enter a Valid Date" promptTitle="Seperation Date" prompt="Please Enter the Last Day You Will Be in the Military" xr:uid="{37961ADA-4441-4D80-8FCE-7DF2B8A9F57F}">
          <x14:formula1>
            <xm:f>'Tax Brackets'!$B$1:$D$1</xm:f>
          </x14:formula1>
          <xm:sqref>B6:D6</xm:sqref>
        </x14:dataValidation>
        <x14:dataValidation type="list" allowBlank="1" showInputMessage="1" showErrorMessage="1" promptTitle="SBP" prompt="Will You Take Advantage of the Survivor Benifits Plan?" xr:uid="{4953E2B6-6DF0-410F-B4D3-947481BED28E}">
          <x14:formula1>
            <xm:f>'Retirement Pay Calculations'!$C$2:$D$2</xm:f>
          </x14:formula1>
          <xm:sqref>B13</xm:sqref>
        </x14:dataValidation>
        <x14:dataValidation type="list" allowBlank="1" showInputMessage="1" showErrorMessage="1" promptTitle="Disability Taxed" prompt="Does Your Post-Seperation State Tax Military Retirement?" xr:uid="{620E458D-F011-4359-9B6F-A11F9C605A15}">
          <x14:formula1>
            <xm:f>'Retirement Pay Calculations'!$C$2:$D$2</xm:f>
          </x14:formula1>
          <xm:sqref>B12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36C0F-9BA7-4DDE-B56E-3721E04CE324}">
  <sheetPr>
    <tabColor rgb="FF0070C0"/>
  </sheetPr>
  <dimension ref="A1:W25"/>
  <sheetViews>
    <sheetView workbookViewId="0">
      <selection activeCell="V19" sqref="V19"/>
    </sheetView>
  </sheetViews>
  <sheetFormatPr defaultColWidth="9.140625" defaultRowHeight="15" x14ac:dyDescent="0.25"/>
  <cols>
    <col min="1" max="1" width="18.28515625" style="11" bestFit="1" customWidth="1"/>
    <col min="2" max="16384" width="9.140625" style="11"/>
  </cols>
  <sheetData>
    <row r="1" spans="1:23" ht="15.75" thickBot="1" x14ac:dyDescent="0.3">
      <c r="A1" s="12"/>
      <c r="B1" s="12">
        <v>0</v>
      </c>
      <c r="C1" s="12">
        <v>2</v>
      </c>
      <c r="D1" s="12">
        <v>3</v>
      </c>
      <c r="E1" s="12">
        <v>4</v>
      </c>
      <c r="F1" s="12">
        <v>6</v>
      </c>
      <c r="G1" s="12">
        <v>8</v>
      </c>
      <c r="H1" s="12">
        <v>10</v>
      </c>
      <c r="I1" s="12">
        <v>12</v>
      </c>
      <c r="J1" s="12">
        <v>14</v>
      </c>
      <c r="K1" s="12">
        <v>16</v>
      </c>
      <c r="L1" s="12">
        <v>18</v>
      </c>
      <c r="M1" s="12">
        <v>20</v>
      </c>
      <c r="N1" s="12">
        <v>22</v>
      </c>
      <c r="O1" s="12">
        <v>24</v>
      </c>
      <c r="P1" s="12">
        <v>26</v>
      </c>
      <c r="Q1" s="12">
        <v>28</v>
      </c>
      <c r="R1" s="12">
        <v>30</v>
      </c>
      <c r="S1" s="12">
        <v>32</v>
      </c>
      <c r="T1" s="12">
        <v>34</v>
      </c>
      <c r="U1" s="12">
        <v>36</v>
      </c>
      <c r="V1" s="12">
        <v>38</v>
      </c>
      <c r="W1" s="12">
        <v>40</v>
      </c>
    </row>
    <row r="2" spans="1:23" ht="15.75" thickBot="1" x14ac:dyDescent="0.3">
      <c r="A2" s="12" t="s">
        <v>48</v>
      </c>
      <c r="B2" s="24">
        <v>15800.1</v>
      </c>
      <c r="C2" s="24">
        <v>15800.1</v>
      </c>
      <c r="D2" s="24">
        <v>15800.1</v>
      </c>
      <c r="E2" s="24">
        <v>15800.1</v>
      </c>
      <c r="F2" s="24">
        <v>15800.1</v>
      </c>
      <c r="G2" s="24">
        <v>15800.1</v>
      </c>
      <c r="H2" s="24">
        <v>15800.1</v>
      </c>
      <c r="I2" s="24">
        <v>15800.1</v>
      </c>
      <c r="J2" s="24">
        <v>15800.1</v>
      </c>
      <c r="K2" s="24">
        <v>15800.1</v>
      </c>
      <c r="L2" s="24">
        <v>15800.1</v>
      </c>
      <c r="M2" s="24">
        <v>15800.1</v>
      </c>
      <c r="N2" s="24">
        <v>15800.1</v>
      </c>
      <c r="O2" s="24">
        <v>15800.1</v>
      </c>
      <c r="P2" s="24">
        <v>15800.1</v>
      </c>
      <c r="Q2" s="24">
        <v>15800.1</v>
      </c>
      <c r="R2" s="24">
        <v>15800.1</v>
      </c>
      <c r="S2" s="24">
        <v>15800.1</v>
      </c>
      <c r="T2" s="24">
        <v>15800.1</v>
      </c>
      <c r="U2" s="24">
        <v>15800.1</v>
      </c>
      <c r="V2" s="24">
        <v>15800.1</v>
      </c>
      <c r="W2" s="24">
        <v>15800.1</v>
      </c>
    </row>
    <row r="3" spans="1:23" ht="15.75" thickBot="1" x14ac:dyDescent="0.3">
      <c r="A3" s="12" t="s">
        <v>49</v>
      </c>
      <c r="B3" s="24">
        <v>14696.4</v>
      </c>
      <c r="C3" s="24">
        <v>14696.4</v>
      </c>
      <c r="D3" s="24">
        <v>14696.4</v>
      </c>
      <c r="E3" s="24">
        <v>14696.4</v>
      </c>
      <c r="F3" s="24">
        <v>14696.4</v>
      </c>
      <c r="G3" s="24">
        <v>14696.4</v>
      </c>
      <c r="H3" s="24">
        <v>14696.4</v>
      </c>
      <c r="I3" s="24">
        <v>14696.4</v>
      </c>
      <c r="J3" s="24">
        <v>14696.4</v>
      </c>
      <c r="K3" s="24">
        <v>14696.4</v>
      </c>
      <c r="L3" s="24">
        <v>14696.4</v>
      </c>
      <c r="M3" s="24">
        <v>14696.4</v>
      </c>
      <c r="N3" s="24">
        <v>14908.8</v>
      </c>
      <c r="O3" s="24">
        <v>15214.5</v>
      </c>
      <c r="P3" s="24">
        <v>15747.6</v>
      </c>
      <c r="Q3" s="24">
        <v>15747.6</v>
      </c>
      <c r="R3" s="24">
        <v>15800.1</v>
      </c>
      <c r="S3" s="24">
        <v>15800.1</v>
      </c>
      <c r="T3" s="24">
        <v>15800.1</v>
      </c>
      <c r="U3" s="24">
        <v>15800.1</v>
      </c>
      <c r="V3" s="24">
        <v>15800.1</v>
      </c>
      <c r="W3" s="24">
        <v>15800.1</v>
      </c>
    </row>
    <row r="4" spans="1:23" ht="15.75" thickBot="1" x14ac:dyDescent="0.3">
      <c r="A4" s="12" t="s">
        <v>50</v>
      </c>
      <c r="B4" s="22">
        <v>10398.6</v>
      </c>
      <c r="C4" s="22">
        <v>10739.4</v>
      </c>
      <c r="D4" s="22">
        <v>10965.6</v>
      </c>
      <c r="E4" s="22">
        <v>11028.6</v>
      </c>
      <c r="F4" s="22">
        <v>11310.9</v>
      </c>
      <c r="G4" s="22">
        <v>11781.9</v>
      </c>
      <c r="H4" s="24">
        <v>11891.4</v>
      </c>
      <c r="I4" s="24">
        <v>12339</v>
      </c>
      <c r="J4" s="24">
        <v>12467.4</v>
      </c>
      <c r="K4" s="24">
        <v>12852.9</v>
      </c>
      <c r="L4" s="24">
        <v>13410.9</v>
      </c>
      <c r="M4" s="24">
        <v>13925.1</v>
      </c>
      <c r="N4" s="24">
        <v>14268.3</v>
      </c>
      <c r="O4" s="24">
        <v>14268.3</v>
      </c>
      <c r="P4" s="24">
        <v>14268.3</v>
      </c>
      <c r="Q4" s="24">
        <v>14268.3</v>
      </c>
      <c r="R4" s="24">
        <v>14625.6</v>
      </c>
      <c r="S4" s="24">
        <v>14625.6</v>
      </c>
      <c r="T4" s="24">
        <v>14991</v>
      </c>
      <c r="U4" s="24">
        <v>14991</v>
      </c>
      <c r="V4" s="24">
        <v>14991</v>
      </c>
      <c r="W4" s="24">
        <v>14991</v>
      </c>
    </row>
    <row r="5" spans="1:23" ht="15.75" thickBot="1" x14ac:dyDescent="0.3">
      <c r="A5" s="12" t="s">
        <v>51</v>
      </c>
      <c r="B5" s="22">
        <v>8640.6</v>
      </c>
      <c r="C5" s="22">
        <v>9041.7000000000007</v>
      </c>
      <c r="D5" s="22">
        <v>9227.7000000000007</v>
      </c>
      <c r="E5" s="22">
        <v>9375.2999999999993</v>
      </c>
      <c r="F5" s="22">
        <v>9642.6</v>
      </c>
      <c r="G5" s="22">
        <v>9906.9</v>
      </c>
      <c r="H5" s="24">
        <v>10212.299999999999</v>
      </c>
      <c r="I5" s="24">
        <v>10516.8</v>
      </c>
      <c r="J5" s="24">
        <v>10822.2</v>
      </c>
      <c r="K5" s="24">
        <v>11781.9</v>
      </c>
      <c r="L5" s="24">
        <v>12591.9</v>
      </c>
      <c r="M5" s="24">
        <v>12591.9</v>
      </c>
      <c r="N5" s="24">
        <v>12591.9</v>
      </c>
      <c r="O5" s="24">
        <v>12591.9</v>
      </c>
      <c r="P5" s="24">
        <v>12656.4</v>
      </c>
      <c r="Q5" s="24">
        <v>12656.4</v>
      </c>
      <c r="R5" s="24">
        <v>12909.6</v>
      </c>
      <c r="S5" s="24">
        <v>12909.6</v>
      </c>
      <c r="T5" s="24">
        <v>12909.6</v>
      </c>
      <c r="U5" s="24">
        <v>12909.6</v>
      </c>
      <c r="V5" s="24">
        <v>12909.6</v>
      </c>
      <c r="W5" s="24">
        <v>12909.6</v>
      </c>
    </row>
    <row r="6" spans="1:23" ht="15.75" thickBot="1" x14ac:dyDescent="0.3">
      <c r="A6" s="12" t="s">
        <v>52</v>
      </c>
      <c r="B6" s="22">
        <v>6552.3</v>
      </c>
      <c r="C6" s="22">
        <v>7198.5</v>
      </c>
      <c r="D6" s="22">
        <v>7671</v>
      </c>
      <c r="E6" s="22">
        <v>7671</v>
      </c>
      <c r="F6" s="22">
        <v>7700.4</v>
      </c>
      <c r="G6" s="22">
        <v>8030.4</v>
      </c>
      <c r="H6" s="24">
        <v>8073.9</v>
      </c>
      <c r="I6" s="24">
        <v>8073.9</v>
      </c>
      <c r="J6" s="24">
        <v>8532.6</v>
      </c>
      <c r="K6" s="24">
        <v>9343.7999999999993</v>
      </c>
      <c r="L6" s="24">
        <v>9819.9</v>
      </c>
      <c r="M6" s="24">
        <v>10295.700000000001</v>
      </c>
      <c r="N6" s="24">
        <v>10566.6</v>
      </c>
      <c r="O6" s="24">
        <v>10841.1</v>
      </c>
      <c r="P6" s="24">
        <v>11372.4</v>
      </c>
      <c r="Q6" s="24">
        <v>11372.4</v>
      </c>
      <c r="R6" s="24">
        <v>11599.8</v>
      </c>
      <c r="S6" s="24">
        <v>11599.8</v>
      </c>
      <c r="T6" s="24">
        <v>11599.8</v>
      </c>
      <c r="U6" s="24">
        <v>11599.8</v>
      </c>
      <c r="V6" s="24">
        <v>11599.8</v>
      </c>
      <c r="W6" s="24">
        <v>11599.8</v>
      </c>
    </row>
    <row r="7" spans="1:23" ht="15.75" thickBot="1" x14ac:dyDescent="0.3">
      <c r="A7" s="12" t="s">
        <v>33</v>
      </c>
      <c r="B7" s="22">
        <v>5462.4</v>
      </c>
      <c r="C7" s="22">
        <v>6153.6</v>
      </c>
      <c r="D7" s="22">
        <v>6579</v>
      </c>
      <c r="E7" s="22">
        <v>6659.4</v>
      </c>
      <c r="F7" s="22">
        <v>6925.5</v>
      </c>
      <c r="G7" s="22">
        <v>7084.2</v>
      </c>
      <c r="H7" s="24">
        <v>7434</v>
      </c>
      <c r="I7" s="24">
        <v>7690.8</v>
      </c>
      <c r="J7" s="24">
        <v>8022.3</v>
      </c>
      <c r="K7" s="24">
        <v>8529.6</v>
      </c>
      <c r="L7" s="24">
        <v>8770.5</v>
      </c>
      <c r="M7" s="24">
        <v>9009.2999999999993</v>
      </c>
      <c r="N7" s="24">
        <v>9280.2000000000007</v>
      </c>
      <c r="O7" s="24">
        <v>9280.2000000000007</v>
      </c>
      <c r="P7" s="24">
        <v>9280.2000000000007</v>
      </c>
      <c r="Q7" s="24">
        <v>9280.2000000000007</v>
      </c>
      <c r="R7" s="24">
        <v>9280.2000000000007</v>
      </c>
      <c r="S7" s="24">
        <v>9280.2000000000007</v>
      </c>
      <c r="T7" s="24">
        <v>9280.2000000000007</v>
      </c>
      <c r="U7" s="24">
        <v>9280.2000000000007</v>
      </c>
      <c r="V7" s="24">
        <v>9280.2000000000007</v>
      </c>
      <c r="W7" s="24">
        <v>9280.2000000000007</v>
      </c>
    </row>
    <row r="8" spans="1:23" ht="15.75" thickBot="1" x14ac:dyDescent="0.3">
      <c r="A8" s="12" t="s">
        <v>34</v>
      </c>
      <c r="B8" s="22">
        <v>4713</v>
      </c>
      <c r="C8" s="22">
        <v>5455.5</v>
      </c>
      <c r="D8" s="22">
        <v>5820</v>
      </c>
      <c r="E8" s="22">
        <v>5900.7</v>
      </c>
      <c r="F8" s="22">
        <v>6238.5</v>
      </c>
      <c r="G8" s="22">
        <v>6601.2</v>
      </c>
      <c r="H8" s="24">
        <v>7052.7</v>
      </c>
      <c r="I8" s="24">
        <v>7403.7</v>
      </c>
      <c r="J8" s="24">
        <v>7647.6</v>
      </c>
      <c r="K8" s="24">
        <v>7788</v>
      </c>
      <c r="L8" s="24">
        <v>7869.3</v>
      </c>
      <c r="M8" s="24">
        <v>7869.3</v>
      </c>
      <c r="N8" s="24">
        <v>7869.3</v>
      </c>
      <c r="O8" s="24">
        <v>7869.3</v>
      </c>
      <c r="P8" s="24">
        <v>7869.3</v>
      </c>
      <c r="Q8" s="24">
        <v>7869.3</v>
      </c>
      <c r="R8" s="24">
        <v>7869.3</v>
      </c>
      <c r="S8" s="24">
        <v>7869.3</v>
      </c>
      <c r="T8" s="24">
        <v>7869.3</v>
      </c>
      <c r="U8" s="24">
        <v>7869.3</v>
      </c>
      <c r="V8" s="24">
        <v>7869.3</v>
      </c>
      <c r="W8" s="24">
        <v>7869.3</v>
      </c>
    </row>
    <row r="9" spans="1:23" ht="15.75" thickBot="1" x14ac:dyDescent="0.3">
      <c r="A9" s="12" t="s">
        <v>53</v>
      </c>
      <c r="B9" s="22">
        <v>4143.8999999999996</v>
      </c>
      <c r="C9" s="22">
        <v>4697.1000000000004</v>
      </c>
      <c r="D9" s="22">
        <v>5069.7</v>
      </c>
      <c r="E9" s="22">
        <v>5527.8</v>
      </c>
      <c r="F9" s="22">
        <v>5793</v>
      </c>
      <c r="G9" s="22">
        <v>6083.4</v>
      </c>
      <c r="H9" s="24">
        <v>6271.2</v>
      </c>
      <c r="I9" s="24">
        <v>6580.2</v>
      </c>
      <c r="J9" s="24">
        <v>6741.6</v>
      </c>
      <c r="K9" s="24">
        <v>6741.6</v>
      </c>
      <c r="L9" s="24">
        <v>6741.6</v>
      </c>
      <c r="M9" s="24">
        <v>6741.6</v>
      </c>
      <c r="N9" s="24">
        <v>6741.6</v>
      </c>
      <c r="O9" s="24">
        <v>6741.6</v>
      </c>
      <c r="P9" s="24">
        <v>6741.6</v>
      </c>
      <c r="Q9" s="24">
        <v>6741.6</v>
      </c>
      <c r="R9" s="24">
        <v>6741.6</v>
      </c>
      <c r="S9" s="24">
        <v>6741.6</v>
      </c>
      <c r="T9" s="24">
        <v>6741.6</v>
      </c>
      <c r="U9" s="24">
        <v>6741.6</v>
      </c>
      <c r="V9" s="24">
        <v>6741.6</v>
      </c>
      <c r="W9" s="24">
        <v>6741.6</v>
      </c>
    </row>
    <row r="10" spans="1:23" ht="15.75" thickBot="1" x14ac:dyDescent="0.3">
      <c r="A10" s="12" t="s">
        <v>54</v>
      </c>
      <c r="B10" s="22">
        <v>3580.5</v>
      </c>
      <c r="C10" s="22">
        <v>4077.9</v>
      </c>
      <c r="D10" s="22">
        <v>4696.2</v>
      </c>
      <c r="E10" s="22">
        <v>4854.8999999999996</v>
      </c>
      <c r="F10" s="22">
        <v>4955.1000000000004</v>
      </c>
      <c r="G10" s="22">
        <v>4955.1000000000004</v>
      </c>
      <c r="H10" s="24">
        <v>4955.1000000000004</v>
      </c>
      <c r="I10" s="24">
        <v>4955.1000000000004</v>
      </c>
      <c r="J10" s="24">
        <v>4955.1000000000004</v>
      </c>
      <c r="K10" s="24">
        <v>4955.1000000000004</v>
      </c>
      <c r="L10" s="24">
        <v>4955.1000000000004</v>
      </c>
      <c r="M10" s="24">
        <v>4955.1000000000004</v>
      </c>
      <c r="N10" s="24">
        <v>4955.1000000000004</v>
      </c>
      <c r="O10" s="24">
        <v>4955.1000000000004</v>
      </c>
      <c r="P10" s="24">
        <v>4955.1000000000004</v>
      </c>
      <c r="Q10" s="24">
        <v>4955.1000000000004</v>
      </c>
      <c r="R10" s="24">
        <v>4955.1000000000004</v>
      </c>
      <c r="S10" s="24">
        <v>4955.1000000000004</v>
      </c>
      <c r="T10" s="24">
        <v>4955.1000000000004</v>
      </c>
      <c r="U10" s="24">
        <v>4955.1000000000004</v>
      </c>
      <c r="V10" s="24">
        <v>4955.1000000000004</v>
      </c>
      <c r="W10" s="24">
        <v>4955.1000000000004</v>
      </c>
    </row>
    <row r="11" spans="1:23" ht="15.75" thickBot="1" x14ac:dyDescent="0.3">
      <c r="A11" s="12" t="s">
        <v>55</v>
      </c>
      <c r="B11" s="22">
        <v>3107.7</v>
      </c>
      <c r="C11" s="22">
        <v>3234.9</v>
      </c>
      <c r="D11" s="22">
        <v>3910.2</v>
      </c>
      <c r="E11" s="22">
        <v>3910.2</v>
      </c>
      <c r="F11" s="22">
        <v>3910.2</v>
      </c>
      <c r="G11" s="22">
        <v>3910.2</v>
      </c>
      <c r="H11" s="22">
        <v>3910.2</v>
      </c>
      <c r="I11" s="22">
        <v>3910.2</v>
      </c>
      <c r="J11" s="22">
        <v>3910.2</v>
      </c>
      <c r="K11" s="22">
        <v>3910.2</v>
      </c>
      <c r="L11" s="22">
        <v>3910.2</v>
      </c>
      <c r="M11" s="22">
        <v>3910.2</v>
      </c>
      <c r="N11" s="22">
        <v>3910.2</v>
      </c>
      <c r="O11" s="22">
        <v>3910.2</v>
      </c>
      <c r="P11" s="22">
        <v>3910.2</v>
      </c>
      <c r="Q11" s="22">
        <v>3910.2</v>
      </c>
      <c r="R11" s="22">
        <v>3910.2</v>
      </c>
      <c r="S11" s="22">
        <v>3910.2</v>
      </c>
      <c r="T11" s="22">
        <v>3910.2</v>
      </c>
      <c r="U11" s="22">
        <v>3910.2</v>
      </c>
      <c r="V11" s="22">
        <v>3910.2</v>
      </c>
      <c r="W11" s="22">
        <v>3910.2</v>
      </c>
    </row>
    <row r="12" spans="1:23" ht="15.75" thickBot="1" x14ac:dyDescent="0.3">
      <c r="A12" s="14" t="s">
        <v>35</v>
      </c>
      <c r="B12" s="24">
        <v>7614.6</v>
      </c>
      <c r="C12" s="24">
        <v>7614.6</v>
      </c>
      <c r="D12" s="24">
        <v>7614.6</v>
      </c>
      <c r="E12" s="24">
        <v>7614.6</v>
      </c>
      <c r="F12" s="24">
        <v>7614.6</v>
      </c>
      <c r="G12" s="24">
        <v>7614.6</v>
      </c>
      <c r="H12" s="24">
        <v>7614.6</v>
      </c>
      <c r="I12" s="24">
        <v>7614.6</v>
      </c>
      <c r="J12" s="24">
        <v>7614.6</v>
      </c>
      <c r="K12" s="24">
        <v>7614.6</v>
      </c>
      <c r="L12" s="24">
        <v>7614.6</v>
      </c>
      <c r="M12" s="24">
        <v>7614.6</v>
      </c>
      <c r="N12" s="24">
        <v>8000.7</v>
      </c>
      <c r="O12" s="24">
        <v>8288.4</v>
      </c>
      <c r="P12" s="24">
        <v>8606.7000000000007</v>
      </c>
      <c r="Q12" s="24">
        <v>8606.7000000000007</v>
      </c>
      <c r="R12" s="24">
        <v>9037.7999999999993</v>
      </c>
      <c r="S12" s="24">
        <v>9037.7999999999993</v>
      </c>
      <c r="T12" s="24">
        <v>9489</v>
      </c>
      <c r="U12" s="24">
        <v>9489</v>
      </c>
      <c r="V12" s="24">
        <v>9964.2000000000007</v>
      </c>
      <c r="W12" s="24">
        <v>9964.2000000000007</v>
      </c>
    </row>
    <row r="13" spans="1:23" ht="15.75" thickBot="1" x14ac:dyDescent="0.3">
      <c r="A13" s="14" t="s">
        <v>36</v>
      </c>
      <c r="B13" s="23">
        <v>4282.5</v>
      </c>
      <c r="C13" s="24">
        <v>4606.5</v>
      </c>
      <c r="D13" s="24">
        <v>4738.5</v>
      </c>
      <c r="E13" s="24">
        <v>4868.7</v>
      </c>
      <c r="F13" s="24">
        <v>5092.8</v>
      </c>
      <c r="G13" s="24">
        <v>5314.5</v>
      </c>
      <c r="H13" s="24">
        <v>5539.2</v>
      </c>
      <c r="I13" s="24">
        <v>5876.4</v>
      </c>
      <c r="J13" s="24">
        <v>6172.5</v>
      </c>
      <c r="K13" s="24">
        <v>6454.2</v>
      </c>
      <c r="L13" s="24">
        <v>6684.9</v>
      </c>
      <c r="M13" s="24">
        <v>6909.6</v>
      </c>
      <c r="N13" s="24">
        <v>7239.9</v>
      </c>
      <c r="O13" s="24">
        <v>7511.1</v>
      </c>
      <c r="P13" s="24">
        <v>7820.7</v>
      </c>
      <c r="Q13" s="24">
        <v>7820.7</v>
      </c>
      <c r="R13" s="24">
        <v>7976.7</v>
      </c>
      <c r="S13" s="24">
        <v>7976.7</v>
      </c>
      <c r="T13" s="24">
        <v>7976.7</v>
      </c>
      <c r="U13" s="24">
        <v>7976.7</v>
      </c>
      <c r="V13" s="24">
        <v>7976.7</v>
      </c>
      <c r="W13" s="24">
        <v>7976.7</v>
      </c>
    </row>
    <row r="14" spans="1:23" ht="15.75" thickBot="1" x14ac:dyDescent="0.3">
      <c r="A14" s="14" t="s">
        <v>37</v>
      </c>
      <c r="B14" s="23">
        <v>3910.8</v>
      </c>
      <c r="C14" s="23">
        <v>4073.7</v>
      </c>
      <c r="D14" s="23">
        <v>4240.8</v>
      </c>
      <c r="E14" s="23">
        <v>4296</v>
      </c>
      <c r="F14" s="23">
        <v>4470.6000000000004</v>
      </c>
      <c r="G14" s="23">
        <v>4815.3</v>
      </c>
      <c r="H14" s="24">
        <v>5174.1000000000004</v>
      </c>
      <c r="I14" s="24">
        <v>5343.3</v>
      </c>
      <c r="J14" s="24">
        <v>5538.9</v>
      </c>
      <c r="K14" s="24">
        <v>5739.9</v>
      </c>
      <c r="L14" s="24">
        <v>6102.3</v>
      </c>
      <c r="M14" s="24">
        <v>6346.8</v>
      </c>
      <c r="N14" s="24">
        <v>6492.9</v>
      </c>
      <c r="O14" s="24">
        <v>6648.3</v>
      </c>
      <c r="P14" s="24">
        <v>6860.1</v>
      </c>
      <c r="Q14" s="24">
        <v>6860.1</v>
      </c>
      <c r="R14" s="24">
        <v>6860.1</v>
      </c>
      <c r="S14" s="24">
        <v>6860.1</v>
      </c>
      <c r="T14" s="24">
        <v>6860.1</v>
      </c>
      <c r="U14" s="24">
        <v>6860.1</v>
      </c>
      <c r="V14" s="24">
        <v>6860.1</v>
      </c>
      <c r="W14" s="24">
        <v>6860.1</v>
      </c>
    </row>
    <row r="15" spans="1:23" ht="15.75" thickBot="1" x14ac:dyDescent="0.3">
      <c r="A15" s="14" t="s">
        <v>38</v>
      </c>
      <c r="B15" s="23">
        <v>3460.5</v>
      </c>
      <c r="C15" s="23">
        <v>3787.8</v>
      </c>
      <c r="D15" s="23">
        <v>3888.6</v>
      </c>
      <c r="E15" s="23">
        <v>3957.6</v>
      </c>
      <c r="F15" s="23">
        <v>4182.3</v>
      </c>
      <c r="G15" s="23">
        <v>4530.8999999999996</v>
      </c>
      <c r="H15" s="24">
        <v>4703.7</v>
      </c>
      <c r="I15" s="24">
        <v>4873.8</v>
      </c>
      <c r="J15" s="24">
        <v>5082</v>
      </c>
      <c r="K15" s="24">
        <v>5244.6</v>
      </c>
      <c r="L15" s="24">
        <v>5391.9</v>
      </c>
      <c r="M15" s="24">
        <v>5568.3</v>
      </c>
      <c r="N15" s="24">
        <v>5684.1</v>
      </c>
      <c r="O15" s="24">
        <v>5775.9</v>
      </c>
      <c r="P15" s="24">
        <v>5775.9</v>
      </c>
      <c r="Q15" s="24">
        <v>5775.9</v>
      </c>
      <c r="R15" s="24">
        <v>5775.9</v>
      </c>
      <c r="S15" s="24">
        <v>5775.9</v>
      </c>
      <c r="T15" s="24">
        <v>5775.9</v>
      </c>
      <c r="U15" s="24">
        <v>5775.9</v>
      </c>
      <c r="V15" s="24">
        <v>5775.9</v>
      </c>
      <c r="W15" s="24">
        <v>5775.9</v>
      </c>
    </row>
    <row r="16" spans="1:23" ht="15.75" thickBot="1" x14ac:dyDescent="0.3">
      <c r="A16" s="14" t="s">
        <v>39</v>
      </c>
      <c r="B16" s="23">
        <v>3037.5</v>
      </c>
      <c r="C16" s="23">
        <v>3364.5</v>
      </c>
      <c r="D16" s="23">
        <v>3452.4</v>
      </c>
      <c r="E16" s="23">
        <v>3638.1</v>
      </c>
      <c r="F16" s="23">
        <v>3857.7</v>
      </c>
      <c r="G16" s="23">
        <v>4181.7</v>
      </c>
      <c r="H16" s="24">
        <v>4332.6000000000004</v>
      </c>
      <c r="I16" s="24">
        <v>4543.8</v>
      </c>
      <c r="J16" s="24">
        <v>4751.7</v>
      </c>
      <c r="K16" s="24">
        <v>4915.5</v>
      </c>
      <c r="L16" s="24">
        <v>5065.8</v>
      </c>
      <c r="M16" s="24">
        <v>5248.8</v>
      </c>
      <c r="N16" s="24">
        <v>5248.8</v>
      </c>
      <c r="O16" s="24">
        <v>5248.8</v>
      </c>
      <c r="P16" s="24">
        <v>5248.8</v>
      </c>
      <c r="Q16" s="24">
        <v>5248.8</v>
      </c>
      <c r="R16" s="24">
        <v>5248.8</v>
      </c>
      <c r="S16" s="24">
        <v>5248.8</v>
      </c>
      <c r="T16" s="24">
        <v>5248.8</v>
      </c>
      <c r="U16" s="24">
        <v>5248.8</v>
      </c>
      <c r="V16" s="24">
        <v>5248.8</v>
      </c>
      <c r="W16" s="24">
        <v>5248.8</v>
      </c>
    </row>
    <row r="17" spans="1:23" ht="15.75" thickBot="1" x14ac:dyDescent="0.3">
      <c r="A17" s="14" t="s">
        <v>40</v>
      </c>
      <c r="B17" s="24">
        <v>5173.8</v>
      </c>
      <c r="C17" s="24">
        <v>5173.8</v>
      </c>
      <c r="D17" s="24">
        <v>5173.8</v>
      </c>
      <c r="E17" s="24">
        <v>5173.8</v>
      </c>
      <c r="F17" s="24">
        <v>5173.8</v>
      </c>
      <c r="G17" s="24">
        <v>5173.8</v>
      </c>
      <c r="H17" s="24">
        <v>5173.8</v>
      </c>
      <c r="I17" s="24">
        <v>5290.8</v>
      </c>
      <c r="J17" s="24">
        <v>5439</v>
      </c>
      <c r="K17" s="24">
        <v>5612.4</v>
      </c>
      <c r="L17" s="24">
        <v>5788.2</v>
      </c>
      <c r="M17" s="24">
        <v>6068.7</v>
      </c>
      <c r="N17" s="24">
        <v>6306.6</v>
      </c>
      <c r="O17" s="24">
        <v>6556.2</v>
      </c>
      <c r="P17" s="24">
        <v>6939</v>
      </c>
      <c r="Q17" s="24">
        <v>6939</v>
      </c>
      <c r="R17" s="24">
        <v>7285.5</v>
      </c>
      <c r="S17" s="24">
        <v>7285.5</v>
      </c>
      <c r="T17" s="24">
        <v>7650</v>
      </c>
      <c r="U17" s="24">
        <v>7650</v>
      </c>
      <c r="V17" s="24">
        <v>8033.1</v>
      </c>
      <c r="W17" s="24">
        <v>8033.1</v>
      </c>
    </row>
    <row r="18" spans="1:23" ht="15.75" thickBot="1" x14ac:dyDescent="0.3">
      <c r="A18" s="14" t="s">
        <v>41</v>
      </c>
      <c r="B18" s="24">
        <v>4235.3999999999996</v>
      </c>
      <c r="C18" s="24">
        <v>4235.3999999999996</v>
      </c>
      <c r="D18" s="24">
        <v>4235.3999999999996</v>
      </c>
      <c r="E18" s="24">
        <v>4235.3999999999996</v>
      </c>
      <c r="F18" s="24">
        <v>4235.3999999999996</v>
      </c>
      <c r="G18" s="24">
        <v>4235.3999999999996</v>
      </c>
      <c r="H18" s="24">
        <v>4422.6000000000004</v>
      </c>
      <c r="I18" s="24">
        <v>4538.7</v>
      </c>
      <c r="J18" s="24">
        <v>4677.3</v>
      </c>
      <c r="K18" s="24">
        <v>4828.2</v>
      </c>
      <c r="L18" s="24">
        <v>5099.7</v>
      </c>
      <c r="M18" s="24">
        <v>5237.3999999999996</v>
      </c>
      <c r="N18" s="24">
        <v>5471.7</v>
      </c>
      <c r="O18" s="24">
        <v>5601.9</v>
      </c>
      <c r="P18" s="24">
        <v>5921.7</v>
      </c>
      <c r="Q18" s="24">
        <v>5921.7</v>
      </c>
      <c r="R18" s="24">
        <v>6040.5</v>
      </c>
      <c r="S18" s="24">
        <v>6040.5</v>
      </c>
      <c r="T18" s="24">
        <v>6040.5</v>
      </c>
      <c r="U18" s="24">
        <v>6040.5</v>
      </c>
      <c r="V18" s="24">
        <v>6040.5</v>
      </c>
      <c r="W18" s="24">
        <v>6040.5</v>
      </c>
    </row>
    <row r="19" spans="1:23" ht="15.75" thickBot="1" x14ac:dyDescent="0.3">
      <c r="A19" s="14" t="s">
        <v>42</v>
      </c>
      <c r="B19" s="24">
        <v>2944.2</v>
      </c>
      <c r="C19" s="24">
        <v>3213.3</v>
      </c>
      <c r="D19" s="24">
        <v>3336.6</v>
      </c>
      <c r="E19" s="24">
        <v>3499.2</v>
      </c>
      <c r="F19" s="24">
        <v>3626.7</v>
      </c>
      <c r="G19" s="24">
        <v>3845.1</v>
      </c>
      <c r="H19" s="24">
        <v>3968.4</v>
      </c>
      <c r="I19" s="24">
        <v>4186.8</v>
      </c>
      <c r="J19" s="24">
        <v>4368.8999999999996</v>
      </c>
      <c r="K19" s="24">
        <v>4493.1000000000004</v>
      </c>
      <c r="L19" s="24">
        <v>4625.1000000000004</v>
      </c>
      <c r="M19" s="24">
        <v>4676.1000000000004</v>
      </c>
      <c r="N19" s="24">
        <v>4848.3</v>
      </c>
      <c r="O19" s="24">
        <v>4940.3999999999996</v>
      </c>
      <c r="P19" s="24">
        <v>5291.4</v>
      </c>
      <c r="Q19" s="24">
        <v>5291.4</v>
      </c>
      <c r="R19" s="24">
        <v>5291.4</v>
      </c>
      <c r="S19" s="24">
        <v>5291.4</v>
      </c>
      <c r="T19" s="24">
        <v>5291.4</v>
      </c>
      <c r="U19" s="24">
        <v>5291.4</v>
      </c>
      <c r="V19" s="24">
        <v>5291.4</v>
      </c>
      <c r="W19" s="24">
        <v>5291.4</v>
      </c>
    </row>
    <row r="20" spans="1:23" ht="15.75" thickBot="1" x14ac:dyDescent="0.3">
      <c r="A20" s="14" t="s">
        <v>43</v>
      </c>
      <c r="B20" s="24">
        <v>2546.4</v>
      </c>
      <c r="C20" s="24">
        <v>2802.3</v>
      </c>
      <c r="D20" s="24">
        <v>2925.9</v>
      </c>
      <c r="E20" s="24">
        <v>3046.2</v>
      </c>
      <c r="F20" s="24">
        <v>3171.6</v>
      </c>
      <c r="G20" s="24">
        <v>3453.6</v>
      </c>
      <c r="H20" s="24">
        <v>3563.7</v>
      </c>
      <c r="I20" s="24">
        <v>3776.7</v>
      </c>
      <c r="J20" s="24">
        <v>3841.5</v>
      </c>
      <c r="K20" s="24">
        <v>3888.9</v>
      </c>
      <c r="L20" s="24">
        <v>3944.1</v>
      </c>
      <c r="M20" s="24">
        <v>3944.1</v>
      </c>
      <c r="N20" s="24">
        <v>3944.1</v>
      </c>
      <c r="O20" s="24">
        <v>3944.1</v>
      </c>
      <c r="P20" s="24">
        <v>3944.1</v>
      </c>
      <c r="Q20" s="24">
        <v>3944.1</v>
      </c>
      <c r="R20" s="24">
        <v>3944.1</v>
      </c>
      <c r="S20" s="24">
        <v>3944.1</v>
      </c>
      <c r="T20" s="24">
        <v>3944.1</v>
      </c>
      <c r="U20" s="24">
        <v>3944.1</v>
      </c>
      <c r="V20" s="24">
        <v>3944.1</v>
      </c>
      <c r="W20" s="24">
        <v>3944.1</v>
      </c>
    </row>
    <row r="21" spans="1:23" ht="15.75" thickBot="1" x14ac:dyDescent="0.3">
      <c r="A21" s="14" t="s">
        <v>44</v>
      </c>
      <c r="B21" s="24">
        <v>2332.8000000000002</v>
      </c>
      <c r="C21" s="24">
        <v>2490</v>
      </c>
      <c r="D21" s="24">
        <v>2610.3000000000002</v>
      </c>
      <c r="E21" s="24">
        <v>2733.3</v>
      </c>
      <c r="F21" s="24">
        <v>2925.3</v>
      </c>
      <c r="G21" s="24">
        <v>3125.7</v>
      </c>
      <c r="H21" s="24">
        <v>3290.7</v>
      </c>
      <c r="I21" s="24">
        <v>3310.5</v>
      </c>
      <c r="J21" s="24">
        <v>3310.5</v>
      </c>
      <c r="K21" s="24">
        <v>3310.5</v>
      </c>
      <c r="L21" s="24">
        <v>3310.5</v>
      </c>
      <c r="M21" s="24">
        <v>3310.5</v>
      </c>
      <c r="N21" s="24">
        <v>3310.5</v>
      </c>
      <c r="O21" s="24">
        <v>3310.5</v>
      </c>
      <c r="P21" s="24">
        <v>3310.5</v>
      </c>
      <c r="Q21" s="24">
        <v>3310.5</v>
      </c>
      <c r="R21" s="24">
        <v>3310.5</v>
      </c>
      <c r="S21" s="24">
        <v>3310.5</v>
      </c>
      <c r="T21" s="24">
        <v>3310.5</v>
      </c>
      <c r="U21" s="24">
        <v>3310.5</v>
      </c>
      <c r="V21" s="24">
        <v>3310.5</v>
      </c>
      <c r="W21" s="24">
        <v>3310.5</v>
      </c>
    </row>
    <row r="22" spans="1:23" ht="15.75" thickBot="1" x14ac:dyDescent="0.3">
      <c r="A22" s="14" t="s">
        <v>45</v>
      </c>
      <c r="B22" s="24">
        <v>2139</v>
      </c>
      <c r="C22" s="24">
        <v>2248.5</v>
      </c>
      <c r="D22" s="24">
        <v>2370.3000000000002</v>
      </c>
      <c r="E22" s="24">
        <v>2490.6</v>
      </c>
      <c r="F22" s="24">
        <v>2596.5</v>
      </c>
      <c r="G22" s="24">
        <v>2596.5</v>
      </c>
      <c r="H22" s="24">
        <v>2596.5</v>
      </c>
      <c r="I22" s="24">
        <v>2596.5</v>
      </c>
      <c r="J22" s="24">
        <v>2596.5</v>
      </c>
      <c r="K22" s="24">
        <v>2596.5</v>
      </c>
      <c r="L22" s="24">
        <v>2596.5</v>
      </c>
      <c r="M22" s="24">
        <v>2596.5</v>
      </c>
      <c r="N22" s="24">
        <v>2596.5</v>
      </c>
      <c r="O22" s="24">
        <v>2596.5</v>
      </c>
      <c r="P22" s="24">
        <v>2596.5</v>
      </c>
      <c r="Q22" s="24">
        <v>2596.5</v>
      </c>
      <c r="R22" s="24">
        <v>2596.5</v>
      </c>
      <c r="S22" s="24">
        <v>2596.5</v>
      </c>
      <c r="T22" s="24">
        <v>2596.5</v>
      </c>
      <c r="U22" s="24">
        <v>2596.5</v>
      </c>
      <c r="V22" s="24">
        <v>2596.5</v>
      </c>
      <c r="W22" s="24">
        <v>2596.5</v>
      </c>
    </row>
    <row r="23" spans="1:23" ht="15.75" thickBot="1" x14ac:dyDescent="0.3">
      <c r="A23" s="14" t="s">
        <v>46</v>
      </c>
      <c r="B23" s="24">
        <v>1931.1</v>
      </c>
      <c r="C23" s="24">
        <v>2052.3000000000002</v>
      </c>
      <c r="D23" s="24">
        <v>2176.8000000000002</v>
      </c>
      <c r="E23" s="24">
        <v>2176.8000000000002</v>
      </c>
      <c r="F23" s="24">
        <v>2176.8000000000002</v>
      </c>
      <c r="G23" s="24">
        <v>2176.8000000000002</v>
      </c>
      <c r="H23" s="24">
        <v>2176.8000000000002</v>
      </c>
      <c r="I23" s="24">
        <v>2176.8000000000002</v>
      </c>
      <c r="J23" s="24">
        <v>2176.8000000000002</v>
      </c>
      <c r="K23" s="24">
        <v>2176.8000000000002</v>
      </c>
      <c r="L23" s="24">
        <v>2176.8000000000002</v>
      </c>
      <c r="M23" s="24">
        <v>2176.8000000000002</v>
      </c>
      <c r="N23" s="24">
        <v>2176.8000000000002</v>
      </c>
      <c r="O23" s="24">
        <v>2176.8000000000002</v>
      </c>
      <c r="P23" s="24">
        <v>2176.8000000000002</v>
      </c>
      <c r="Q23" s="24">
        <v>2176.8000000000002</v>
      </c>
      <c r="R23" s="24">
        <v>2176.8000000000002</v>
      </c>
      <c r="S23" s="24">
        <v>2176.8000000000002</v>
      </c>
      <c r="T23" s="24">
        <v>2176.8000000000002</v>
      </c>
      <c r="U23" s="24">
        <v>2176.8000000000002</v>
      </c>
      <c r="V23" s="24">
        <v>2176.8000000000002</v>
      </c>
      <c r="W23" s="24">
        <v>2176.8000000000002</v>
      </c>
    </row>
    <row r="24" spans="1:23" ht="15.75" thickBot="1" x14ac:dyDescent="0.3">
      <c r="A24" s="14" t="s">
        <v>47</v>
      </c>
      <c r="B24" s="24">
        <v>1836.3</v>
      </c>
      <c r="C24" s="24">
        <v>1836.3</v>
      </c>
      <c r="D24" s="24">
        <v>1836.3</v>
      </c>
      <c r="E24" s="24">
        <v>1836.3</v>
      </c>
      <c r="F24" s="24">
        <v>1836.3</v>
      </c>
      <c r="G24" s="24">
        <v>1836.3</v>
      </c>
      <c r="H24" s="24">
        <v>1836.3</v>
      </c>
      <c r="I24" s="24">
        <v>1836.3</v>
      </c>
      <c r="J24" s="24">
        <v>1836.3</v>
      </c>
      <c r="K24" s="24">
        <v>1836.3</v>
      </c>
      <c r="L24" s="24">
        <v>1836.3</v>
      </c>
      <c r="M24" s="24">
        <v>1836.3</v>
      </c>
      <c r="N24" s="24">
        <v>1836.3</v>
      </c>
      <c r="O24" s="24">
        <v>1836.3</v>
      </c>
      <c r="P24" s="24">
        <v>1836.3</v>
      </c>
      <c r="Q24" s="24">
        <v>1836.3</v>
      </c>
      <c r="R24" s="24">
        <v>1836.3</v>
      </c>
      <c r="S24" s="24">
        <v>1836.3</v>
      </c>
      <c r="T24" s="24">
        <v>1836.3</v>
      </c>
      <c r="U24" s="24">
        <v>1836.3</v>
      </c>
      <c r="V24" s="24">
        <v>1836.3</v>
      </c>
      <c r="W24" s="24">
        <v>1836.3</v>
      </c>
    </row>
    <row r="25" spans="1:23" ht="15.75" thickBot="1" x14ac:dyDescent="0.3">
      <c r="A25" s="14" t="s">
        <v>56</v>
      </c>
      <c r="B25" s="24">
        <v>1638.3</v>
      </c>
      <c r="C25" s="24">
        <v>1638.3</v>
      </c>
      <c r="D25" s="24">
        <v>1638.3</v>
      </c>
      <c r="E25" s="24">
        <v>1638.3</v>
      </c>
      <c r="F25" s="24">
        <v>1638.3</v>
      </c>
      <c r="G25" s="24">
        <v>1638.3</v>
      </c>
      <c r="H25" s="24">
        <v>1638.3</v>
      </c>
      <c r="I25" s="24">
        <v>1638.3</v>
      </c>
      <c r="J25" s="24">
        <v>1638.3</v>
      </c>
      <c r="K25" s="24">
        <v>1638.3</v>
      </c>
      <c r="L25" s="24">
        <v>1638.3</v>
      </c>
      <c r="M25" s="24">
        <v>1638.3</v>
      </c>
      <c r="N25" s="24">
        <v>1638.3</v>
      </c>
      <c r="O25" s="24">
        <v>1638.3</v>
      </c>
      <c r="P25" s="24">
        <v>1638.3</v>
      </c>
      <c r="Q25" s="24">
        <v>1638.3</v>
      </c>
      <c r="R25" s="24">
        <v>1638.3</v>
      </c>
      <c r="S25" s="24">
        <v>1638.3</v>
      </c>
      <c r="T25" s="24">
        <v>1638.3</v>
      </c>
      <c r="U25" s="24">
        <v>1638.3</v>
      </c>
      <c r="V25" s="24">
        <v>1638.3</v>
      </c>
      <c r="W25" s="24">
        <v>1638.3</v>
      </c>
    </row>
  </sheetData>
  <sheetProtection sheet="1" objects="1" scenarios="1"/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1C28E-F5A5-435B-B53A-99CFB183F49E}">
  <sheetPr codeName="Sheet7">
    <tabColor rgb="FF0070C0"/>
  </sheetPr>
  <dimension ref="A1:W25"/>
  <sheetViews>
    <sheetView workbookViewId="0">
      <selection activeCell="M34" sqref="M34"/>
    </sheetView>
  </sheetViews>
  <sheetFormatPr defaultColWidth="9.140625" defaultRowHeight="15" x14ac:dyDescent="0.25"/>
  <cols>
    <col min="1" max="1" width="18.28515625" style="11" bestFit="1" customWidth="1"/>
    <col min="2" max="16384" width="9.140625" style="11"/>
  </cols>
  <sheetData>
    <row r="1" spans="1:23" x14ac:dyDescent="0.25">
      <c r="A1" s="12"/>
      <c r="B1" s="12">
        <v>0</v>
      </c>
      <c r="C1" s="12">
        <v>2</v>
      </c>
      <c r="D1" s="12">
        <v>3</v>
      </c>
      <c r="E1" s="12">
        <v>4</v>
      </c>
      <c r="F1" s="12">
        <v>6</v>
      </c>
      <c r="G1" s="12">
        <v>8</v>
      </c>
      <c r="H1" s="12">
        <v>10</v>
      </c>
      <c r="I1" s="12">
        <v>12</v>
      </c>
      <c r="J1" s="12">
        <v>14</v>
      </c>
      <c r="K1" s="12">
        <v>16</v>
      </c>
      <c r="L1" s="12">
        <v>18</v>
      </c>
      <c r="M1" s="12">
        <v>20</v>
      </c>
      <c r="N1" s="12">
        <v>22</v>
      </c>
      <c r="O1" s="12">
        <v>24</v>
      </c>
      <c r="P1" s="12">
        <v>26</v>
      </c>
      <c r="Q1" s="12">
        <v>28</v>
      </c>
      <c r="R1" s="12">
        <v>30</v>
      </c>
      <c r="S1" s="12">
        <v>32</v>
      </c>
      <c r="T1" s="12">
        <v>34</v>
      </c>
      <c r="U1" s="12">
        <v>36</v>
      </c>
      <c r="V1" s="12">
        <v>38</v>
      </c>
      <c r="W1" s="12">
        <v>40</v>
      </c>
    </row>
    <row r="2" spans="1:23" x14ac:dyDescent="0.25">
      <c r="A2" s="12" t="s">
        <v>48</v>
      </c>
      <c r="B2" s="16">
        <v>15583.2</v>
      </c>
      <c r="C2" s="16">
        <v>15583.2</v>
      </c>
      <c r="D2" s="16">
        <v>15583.2</v>
      </c>
      <c r="E2" s="16">
        <v>15583.2</v>
      </c>
      <c r="F2" s="16">
        <v>15583.2</v>
      </c>
      <c r="G2" s="16">
        <v>15583.2</v>
      </c>
      <c r="H2" s="16">
        <v>15583.2</v>
      </c>
      <c r="I2" s="16">
        <v>15583.2</v>
      </c>
      <c r="J2" s="16">
        <v>15583.2</v>
      </c>
      <c r="K2" s="16">
        <v>15583.2</v>
      </c>
      <c r="L2" s="16">
        <v>15583.2</v>
      </c>
      <c r="M2" s="16">
        <v>15583.2</v>
      </c>
      <c r="N2" s="19">
        <v>15583.2</v>
      </c>
      <c r="O2" s="19">
        <v>15583.2</v>
      </c>
      <c r="P2" s="19">
        <v>15583.2</v>
      </c>
      <c r="Q2" s="19">
        <v>15583.2</v>
      </c>
      <c r="R2" s="19">
        <v>15583.2</v>
      </c>
      <c r="S2" s="19">
        <v>15583.2</v>
      </c>
      <c r="T2" s="19">
        <v>15583.2</v>
      </c>
      <c r="U2" s="19">
        <v>15583.2</v>
      </c>
      <c r="V2" s="19">
        <v>15583.2</v>
      </c>
      <c r="W2" s="19">
        <v>15583.2</v>
      </c>
    </row>
    <row r="3" spans="1:23" x14ac:dyDescent="0.25">
      <c r="A3" s="12" t="s">
        <v>49</v>
      </c>
      <c r="B3" s="16">
        <v>14352</v>
      </c>
      <c r="C3" s="16">
        <v>14352</v>
      </c>
      <c r="D3" s="16">
        <v>14352</v>
      </c>
      <c r="E3" s="16">
        <v>14352</v>
      </c>
      <c r="F3" s="16">
        <v>14352</v>
      </c>
      <c r="G3" s="16">
        <v>14352</v>
      </c>
      <c r="H3" s="16">
        <v>14352</v>
      </c>
      <c r="I3" s="16">
        <v>14352</v>
      </c>
      <c r="J3" s="16">
        <v>14352</v>
      </c>
      <c r="K3" s="16">
        <v>14352</v>
      </c>
      <c r="L3" s="16">
        <v>14352</v>
      </c>
      <c r="M3" s="16">
        <v>14352</v>
      </c>
      <c r="N3" s="19">
        <v>14559.3</v>
      </c>
      <c r="O3" s="19">
        <v>14857.8</v>
      </c>
      <c r="P3" s="19">
        <v>15378.6</v>
      </c>
      <c r="Q3" s="19">
        <v>15378.6</v>
      </c>
      <c r="R3" s="19">
        <v>15583.2</v>
      </c>
      <c r="S3" s="19">
        <v>15583.2</v>
      </c>
      <c r="T3" s="19">
        <v>15583.2</v>
      </c>
      <c r="U3" s="19">
        <v>15583.2</v>
      </c>
      <c r="V3" s="19">
        <v>15583.2</v>
      </c>
      <c r="W3" s="19">
        <v>15583.2</v>
      </c>
    </row>
    <row r="4" spans="1:23" x14ac:dyDescent="0.25">
      <c r="A4" s="12" t="s">
        <v>50</v>
      </c>
      <c r="B4" s="19">
        <v>10155</v>
      </c>
      <c r="C4" s="19">
        <v>10487.7</v>
      </c>
      <c r="D4" s="19">
        <v>10708.5</v>
      </c>
      <c r="E4" s="19">
        <v>10770</v>
      </c>
      <c r="F4" s="19">
        <v>11045.7</v>
      </c>
      <c r="G4" s="19">
        <v>11505.9</v>
      </c>
      <c r="H4" s="19">
        <v>11612.7</v>
      </c>
      <c r="I4" s="19">
        <v>12049.8</v>
      </c>
      <c r="J4" s="19">
        <v>12175.2</v>
      </c>
      <c r="K4" s="19">
        <v>12551.7</v>
      </c>
      <c r="L4" s="19">
        <v>13096.5</v>
      </c>
      <c r="M4" s="19">
        <v>13598.7</v>
      </c>
      <c r="N4" s="19">
        <v>13933.8</v>
      </c>
      <c r="O4" s="19">
        <v>13933.8</v>
      </c>
      <c r="P4" s="19">
        <v>13933.8</v>
      </c>
      <c r="Q4" s="19">
        <v>13933.8</v>
      </c>
      <c r="R4" s="19">
        <v>14282.7</v>
      </c>
      <c r="S4" s="19">
        <v>14282.7</v>
      </c>
      <c r="T4" s="18">
        <v>14639.7</v>
      </c>
      <c r="U4" s="18">
        <v>14639.7</v>
      </c>
      <c r="V4" s="17">
        <v>14639.7</v>
      </c>
      <c r="W4" s="17">
        <v>14639.7</v>
      </c>
    </row>
    <row r="5" spans="1:23" x14ac:dyDescent="0.25">
      <c r="A5" s="12" t="s">
        <v>51</v>
      </c>
      <c r="B5" s="19">
        <v>8438.1</v>
      </c>
      <c r="C5" s="19">
        <v>8829.9</v>
      </c>
      <c r="D5" s="19">
        <v>9011.4</v>
      </c>
      <c r="E5" s="19">
        <v>9155.7000000000007</v>
      </c>
      <c r="F5" s="19">
        <v>9416.7000000000007</v>
      </c>
      <c r="G5" s="19">
        <v>9674.7000000000007</v>
      </c>
      <c r="H5" s="19">
        <v>9972.9</v>
      </c>
      <c r="I5" s="19">
        <v>10270.200000000001</v>
      </c>
      <c r="J5" s="19">
        <v>10568.7</v>
      </c>
      <c r="K5" s="19">
        <v>11505.9</v>
      </c>
      <c r="L5" s="19">
        <v>12296.7</v>
      </c>
      <c r="M5" s="19">
        <v>12296.7</v>
      </c>
      <c r="N5" s="19">
        <v>12296.7</v>
      </c>
      <c r="O5" s="19">
        <v>12296.7</v>
      </c>
      <c r="P5" s="19">
        <v>12359.7</v>
      </c>
      <c r="Q5" s="19">
        <v>12359.7</v>
      </c>
      <c r="R5" s="19">
        <v>12606.9</v>
      </c>
      <c r="S5" s="19">
        <v>12606.9</v>
      </c>
      <c r="T5" s="18">
        <v>12606.9</v>
      </c>
      <c r="U5" s="18">
        <v>12606.9</v>
      </c>
      <c r="V5" s="17">
        <v>12606.9</v>
      </c>
      <c r="W5" s="17">
        <v>12606.9</v>
      </c>
    </row>
    <row r="6" spans="1:23" x14ac:dyDescent="0.25">
      <c r="A6" s="12" t="s">
        <v>52</v>
      </c>
      <c r="B6" s="19">
        <v>6398.7</v>
      </c>
      <c r="C6" s="19">
        <v>7029.9</v>
      </c>
      <c r="D6" s="19">
        <v>7491.3</v>
      </c>
      <c r="E6" s="19">
        <v>7491.3</v>
      </c>
      <c r="F6" s="19">
        <v>7519.8</v>
      </c>
      <c r="G6" s="19">
        <v>7842.3</v>
      </c>
      <c r="H6" s="19">
        <v>7884.6</v>
      </c>
      <c r="I6" s="19">
        <v>7884.6</v>
      </c>
      <c r="J6" s="19">
        <v>8332.5</v>
      </c>
      <c r="K6" s="19">
        <v>9124.7999999999993</v>
      </c>
      <c r="L6" s="19">
        <v>9589.7999999999993</v>
      </c>
      <c r="M6" s="19">
        <v>10054.5</v>
      </c>
      <c r="N6" s="19">
        <v>10318.799999999999</v>
      </c>
      <c r="O6" s="19">
        <v>10587</v>
      </c>
      <c r="P6" s="19">
        <v>11106</v>
      </c>
      <c r="Q6" s="19">
        <v>11106</v>
      </c>
      <c r="R6" s="19">
        <v>11328</v>
      </c>
      <c r="S6" s="19">
        <v>11328</v>
      </c>
      <c r="T6" s="18">
        <v>11328</v>
      </c>
      <c r="U6" s="18">
        <v>11328</v>
      </c>
      <c r="V6" s="17">
        <v>11328</v>
      </c>
      <c r="W6" s="17">
        <v>11328</v>
      </c>
    </row>
    <row r="7" spans="1:23" x14ac:dyDescent="0.25">
      <c r="A7" s="12" t="s">
        <v>33</v>
      </c>
      <c r="B7" s="19">
        <v>5334.3</v>
      </c>
      <c r="C7" s="19">
        <v>6009.3</v>
      </c>
      <c r="D7" s="19">
        <v>6424.8</v>
      </c>
      <c r="E7" s="19">
        <v>6503.4</v>
      </c>
      <c r="F7" s="19">
        <v>6763.2</v>
      </c>
      <c r="G7" s="19">
        <v>6918.3</v>
      </c>
      <c r="H7" s="19">
        <v>7259.7</v>
      </c>
      <c r="I7" s="19">
        <v>7510.5</v>
      </c>
      <c r="J7" s="19">
        <v>7834.2</v>
      </c>
      <c r="K7" s="19">
        <v>8329.7999999999993</v>
      </c>
      <c r="L7" s="19">
        <v>8565</v>
      </c>
      <c r="M7" s="19">
        <v>8798.1</v>
      </c>
      <c r="N7" s="19">
        <v>9062.7000000000007</v>
      </c>
      <c r="O7" s="19">
        <v>9062.7000000000007</v>
      </c>
      <c r="P7" s="19">
        <v>9062.7000000000007</v>
      </c>
      <c r="Q7" s="19">
        <v>9062.7000000000007</v>
      </c>
      <c r="R7" s="19">
        <v>9062.7000000000007</v>
      </c>
      <c r="S7" s="19">
        <v>9062.7000000000007</v>
      </c>
      <c r="T7" s="19">
        <v>9062.7000000000007</v>
      </c>
      <c r="U7" s="19">
        <v>9062.7000000000007</v>
      </c>
      <c r="V7" s="18">
        <v>9062.7000000000007</v>
      </c>
      <c r="W7" s="17">
        <v>9062.7000000000007</v>
      </c>
    </row>
    <row r="8" spans="1:23" x14ac:dyDescent="0.25">
      <c r="A8" s="12" t="s">
        <v>34</v>
      </c>
      <c r="B8" s="19">
        <v>4602.6000000000004</v>
      </c>
      <c r="C8" s="19">
        <v>5327.7</v>
      </c>
      <c r="D8" s="19">
        <v>5683.5</v>
      </c>
      <c r="E8" s="19">
        <v>5762.4</v>
      </c>
      <c r="F8" s="19">
        <v>6092.4</v>
      </c>
      <c r="G8" s="19">
        <v>6446.4</v>
      </c>
      <c r="H8" s="19">
        <v>6887.4</v>
      </c>
      <c r="I8" s="19">
        <v>7230.3</v>
      </c>
      <c r="J8" s="19">
        <v>7468.5</v>
      </c>
      <c r="K8" s="19">
        <v>7605.6</v>
      </c>
      <c r="L8" s="19">
        <v>7684.8</v>
      </c>
      <c r="M8" s="19">
        <v>7684.8</v>
      </c>
      <c r="N8" s="19">
        <v>7684.8</v>
      </c>
      <c r="O8" s="19">
        <v>7684.8</v>
      </c>
      <c r="P8" s="19">
        <v>7684.8</v>
      </c>
      <c r="Q8" s="19">
        <v>7684.8</v>
      </c>
      <c r="R8" s="19">
        <v>7684.8</v>
      </c>
      <c r="S8" s="19">
        <v>7684.8</v>
      </c>
      <c r="T8" s="19">
        <v>7684.8</v>
      </c>
      <c r="U8" s="19">
        <v>7684.8</v>
      </c>
      <c r="V8" s="18">
        <v>7684.8</v>
      </c>
      <c r="W8" s="17">
        <v>7684.8</v>
      </c>
    </row>
    <row r="9" spans="1:23" x14ac:dyDescent="0.25">
      <c r="A9" s="12" t="s">
        <v>53</v>
      </c>
      <c r="B9" s="19">
        <v>4046.7</v>
      </c>
      <c r="C9" s="19">
        <v>4587</v>
      </c>
      <c r="D9" s="19">
        <v>4950.8999999999996</v>
      </c>
      <c r="E9" s="19">
        <v>5398.2</v>
      </c>
      <c r="F9" s="19">
        <v>5657.1</v>
      </c>
      <c r="G9" s="19">
        <v>5940.9</v>
      </c>
      <c r="H9" s="19">
        <v>6124.2</v>
      </c>
      <c r="I9" s="19">
        <v>6426</v>
      </c>
      <c r="J9" s="19">
        <v>6583.5</v>
      </c>
      <c r="K9" s="19">
        <v>6583.5</v>
      </c>
      <c r="L9" s="19">
        <v>6583.5</v>
      </c>
      <c r="M9" s="19">
        <v>6583.5</v>
      </c>
      <c r="N9" s="19">
        <v>6583.5</v>
      </c>
      <c r="O9" s="19">
        <v>6583.5</v>
      </c>
      <c r="P9" s="19">
        <v>6583.5</v>
      </c>
      <c r="Q9" s="19">
        <v>6583.5</v>
      </c>
      <c r="R9" s="19">
        <v>6583.5</v>
      </c>
      <c r="S9" s="19">
        <v>6583.5</v>
      </c>
      <c r="T9" s="19">
        <v>6583.5</v>
      </c>
      <c r="U9" s="19">
        <v>6583.5</v>
      </c>
      <c r="V9" s="18">
        <v>6583.5</v>
      </c>
      <c r="W9" s="17">
        <v>6583.5</v>
      </c>
    </row>
    <row r="10" spans="1:23" x14ac:dyDescent="0.25">
      <c r="A10" s="12" t="s">
        <v>54</v>
      </c>
      <c r="B10" s="19">
        <v>3496.5</v>
      </c>
      <c r="C10" s="19">
        <v>3982.2</v>
      </c>
      <c r="D10" s="19">
        <v>4586.1000000000004</v>
      </c>
      <c r="E10" s="19">
        <v>4741.2</v>
      </c>
      <c r="F10" s="19">
        <v>4839</v>
      </c>
      <c r="G10" s="19">
        <v>4839</v>
      </c>
      <c r="H10" s="19">
        <v>4839</v>
      </c>
      <c r="I10" s="19">
        <v>4839</v>
      </c>
      <c r="J10" s="19">
        <v>4839</v>
      </c>
      <c r="K10" s="19">
        <v>4839</v>
      </c>
      <c r="L10" s="19">
        <v>4839</v>
      </c>
      <c r="M10" s="19">
        <v>4839</v>
      </c>
      <c r="N10" s="19">
        <v>4839</v>
      </c>
      <c r="O10" s="19">
        <v>4839</v>
      </c>
      <c r="P10" s="19">
        <v>4839</v>
      </c>
      <c r="Q10" s="19">
        <v>4839</v>
      </c>
      <c r="R10" s="19">
        <v>4839</v>
      </c>
      <c r="S10" s="19">
        <v>4839</v>
      </c>
      <c r="T10" s="19">
        <v>4839</v>
      </c>
      <c r="U10" s="19">
        <v>4839</v>
      </c>
      <c r="V10" s="18">
        <v>4839</v>
      </c>
      <c r="W10" s="17">
        <v>4839</v>
      </c>
    </row>
    <row r="11" spans="1:23" x14ac:dyDescent="0.25">
      <c r="A11" s="12" t="s">
        <v>55</v>
      </c>
      <c r="B11" s="19">
        <v>3034.8</v>
      </c>
      <c r="C11" s="19">
        <v>3159</v>
      </c>
      <c r="D11" s="19">
        <v>3818.7</v>
      </c>
      <c r="E11" s="19">
        <v>3818.7</v>
      </c>
      <c r="F11" s="19">
        <v>3818.7</v>
      </c>
      <c r="G11" s="19">
        <v>3818.7</v>
      </c>
      <c r="H11" s="19">
        <v>3818.7</v>
      </c>
      <c r="I11" s="19">
        <v>3818.7</v>
      </c>
      <c r="J11" s="19">
        <v>3818.7</v>
      </c>
      <c r="K11" s="19">
        <v>3818.7</v>
      </c>
      <c r="L11" s="19">
        <v>3818.7</v>
      </c>
      <c r="M11" s="19">
        <v>3818.7</v>
      </c>
      <c r="N11" s="19">
        <v>3818.7</v>
      </c>
      <c r="O11" s="19">
        <v>3818.7</v>
      </c>
      <c r="P11" s="19">
        <v>3818.7</v>
      </c>
      <c r="Q11" s="19">
        <v>3818.7</v>
      </c>
      <c r="R11" s="19">
        <v>3818.7</v>
      </c>
      <c r="S11" s="19">
        <v>3818.7</v>
      </c>
      <c r="T11" s="19">
        <v>3818.7</v>
      </c>
      <c r="U11" s="19">
        <v>3818.7</v>
      </c>
      <c r="V11" s="18">
        <v>3818.7</v>
      </c>
      <c r="W11" s="17">
        <v>3818.7</v>
      </c>
    </row>
    <row r="12" spans="1:23" x14ac:dyDescent="0.25">
      <c r="A12" s="14" t="s">
        <v>35</v>
      </c>
      <c r="B12" s="16">
        <v>7436.1</v>
      </c>
      <c r="C12" s="16">
        <v>7436.1</v>
      </c>
      <c r="D12" s="16">
        <v>7436.1</v>
      </c>
      <c r="E12" s="16">
        <v>7436.1</v>
      </c>
      <c r="F12" s="16">
        <v>7436.1</v>
      </c>
      <c r="G12" s="16">
        <v>7436.1</v>
      </c>
      <c r="H12" s="16">
        <v>7436.1</v>
      </c>
      <c r="I12" s="16">
        <v>7436.1</v>
      </c>
      <c r="J12" s="16">
        <v>7436.1</v>
      </c>
      <c r="K12" s="16">
        <v>7436.1</v>
      </c>
      <c r="L12" s="16">
        <v>7436.1</v>
      </c>
      <c r="M12" s="16">
        <v>7436.1</v>
      </c>
      <c r="N12" s="20">
        <v>7813.2</v>
      </c>
      <c r="O12" s="20">
        <v>8094</v>
      </c>
      <c r="P12" s="20">
        <v>8405.1</v>
      </c>
      <c r="Q12" s="20">
        <v>8405.1</v>
      </c>
      <c r="R12" s="20">
        <v>8826</v>
      </c>
      <c r="S12" s="20">
        <v>8826</v>
      </c>
      <c r="T12" s="20">
        <v>9266.7000000000007</v>
      </c>
      <c r="U12" s="20">
        <v>9266.7000000000007</v>
      </c>
      <c r="V12" s="20">
        <v>9730.7999999999993</v>
      </c>
      <c r="W12" s="20">
        <v>9730.7999999999993</v>
      </c>
    </row>
    <row r="13" spans="1:23" x14ac:dyDescent="0.25">
      <c r="A13" s="14" t="s">
        <v>36</v>
      </c>
      <c r="B13" s="20">
        <v>4182</v>
      </c>
      <c r="C13" s="20">
        <v>4498.5</v>
      </c>
      <c r="D13" s="20">
        <v>4627.5</v>
      </c>
      <c r="E13" s="20">
        <v>4754.7</v>
      </c>
      <c r="F13" s="20">
        <v>4973.3999999999996</v>
      </c>
      <c r="G13" s="20">
        <v>5190</v>
      </c>
      <c r="H13" s="20">
        <v>5409.3</v>
      </c>
      <c r="I13" s="20">
        <v>5738.7</v>
      </c>
      <c r="J13" s="20">
        <v>6027.9</v>
      </c>
      <c r="K13" s="20">
        <v>6303</v>
      </c>
      <c r="L13" s="20">
        <v>6528.3</v>
      </c>
      <c r="M13" s="20">
        <v>6747.6</v>
      </c>
      <c r="N13" s="20">
        <v>7070.1</v>
      </c>
      <c r="O13" s="20">
        <v>7335</v>
      </c>
      <c r="P13" s="20">
        <v>7637.4</v>
      </c>
      <c r="Q13" s="20">
        <v>7637.4</v>
      </c>
      <c r="R13" s="20">
        <v>7789.8</v>
      </c>
      <c r="S13" s="20">
        <v>7789.8</v>
      </c>
      <c r="T13" s="20">
        <v>7789.8</v>
      </c>
      <c r="U13" s="20">
        <v>7789.8</v>
      </c>
      <c r="V13" s="18">
        <v>7789.8</v>
      </c>
      <c r="W13" s="17">
        <v>7789.8</v>
      </c>
    </row>
    <row r="14" spans="1:23" x14ac:dyDescent="0.25">
      <c r="A14" s="14" t="s">
        <v>37</v>
      </c>
      <c r="B14" s="20">
        <v>3819</v>
      </c>
      <c r="C14" s="20">
        <v>3978.3</v>
      </c>
      <c r="D14" s="20">
        <v>4141.5</v>
      </c>
      <c r="E14" s="20">
        <v>4195.2</v>
      </c>
      <c r="F14" s="20">
        <v>4365.8999999999996</v>
      </c>
      <c r="G14" s="20">
        <v>4702.5</v>
      </c>
      <c r="H14" s="20">
        <v>5052.8999999999996</v>
      </c>
      <c r="I14" s="20">
        <v>5218.2</v>
      </c>
      <c r="J14" s="20">
        <v>5409</v>
      </c>
      <c r="K14" s="20">
        <v>5605.5</v>
      </c>
      <c r="L14" s="20">
        <v>5959.2</v>
      </c>
      <c r="M14" s="20">
        <v>6198</v>
      </c>
      <c r="N14" s="20">
        <v>6340.8</v>
      </c>
      <c r="O14" s="20">
        <v>6492.6</v>
      </c>
      <c r="P14" s="20">
        <v>6699.3</v>
      </c>
      <c r="Q14" s="20">
        <v>6699.3</v>
      </c>
      <c r="R14" s="20">
        <v>6699.3</v>
      </c>
      <c r="S14" s="20">
        <v>6699.3</v>
      </c>
      <c r="T14" s="20">
        <v>6699.3</v>
      </c>
      <c r="U14" s="20">
        <v>6699.3</v>
      </c>
      <c r="V14" s="18">
        <v>6699.3</v>
      </c>
      <c r="W14" s="17">
        <v>6699.3</v>
      </c>
    </row>
    <row r="15" spans="1:23" x14ac:dyDescent="0.25">
      <c r="A15" s="14" t="s">
        <v>38</v>
      </c>
      <c r="B15" s="20">
        <v>3379.5</v>
      </c>
      <c r="C15" s="20">
        <v>3699</v>
      </c>
      <c r="D15" s="20">
        <v>3797.4</v>
      </c>
      <c r="E15" s="20">
        <v>3864.9</v>
      </c>
      <c r="F15" s="20">
        <v>4084.2</v>
      </c>
      <c r="G15" s="20">
        <v>4424.7</v>
      </c>
      <c r="H15" s="20">
        <v>4593.6000000000004</v>
      </c>
      <c r="I15" s="20">
        <v>4759.5</v>
      </c>
      <c r="J15" s="20">
        <v>4962.8999999999996</v>
      </c>
      <c r="K15" s="20">
        <v>5121.6000000000004</v>
      </c>
      <c r="L15" s="20">
        <v>5265.6</v>
      </c>
      <c r="M15" s="20">
        <v>5437.8</v>
      </c>
      <c r="N15" s="20">
        <v>5550.9</v>
      </c>
      <c r="O15" s="20">
        <v>5640.6</v>
      </c>
      <c r="P15" s="20">
        <v>5640.6</v>
      </c>
      <c r="Q15" s="20">
        <v>5640.6</v>
      </c>
      <c r="R15" s="20">
        <v>5640.6</v>
      </c>
      <c r="S15" s="20">
        <v>5640.6</v>
      </c>
      <c r="T15" s="20">
        <v>5640.6</v>
      </c>
      <c r="U15" s="20">
        <v>5640.6</v>
      </c>
      <c r="V15" s="18">
        <v>5640.6</v>
      </c>
      <c r="W15" s="17">
        <v>5640.6</v>
      </c>
    </row>
    <row r="16" spans="1:23" x14ac:dyDescent="0.25">
      <c r="A16" s="14" t="s">
        <v>39</v>
      </c>
      <c r="B16" s="20">
        <v>2966.4</v>
      </c>
      <c r="C16" s="20">
        <v>3285.6</v>
      </c>
      <c r="D16" s="20">
        <v>3371.4</v>
      </c>
      <c r="E16" s="20">
        <v>3552.9</v>
      </c>
      <c r="F16" s="20">
        <v>3767.4</v>
      </c>
      <c r="G16" s="20">
        <v>4083.6</v>
      </c>
      <c r="H16" s="20">
        <v>4231.2</v>
      </c>
      <c r="I16" s="20">
        <v>4437.3</v>
      </c>
      <c r="J16" s="20">
        <v>4640.3999999999996</v>
      </c>
      <c r="K16" s="20">
        <v>4800.3</v>
      </c>
      <c r="L16" s="20">
        <v>4947</v>
      </c>
      <c r="M16" s="20">
        <v>5125.8</v>
      </c>
      <c r="N16" s="20">
        <v>5125.8</v>
      </c>
      <c r="O16" s="20">
        <v>5125.8</v>
      </c>
      <c r="P16" s="20">
        <v>5125.8</v>
      </c>
      <c r="Q16" s="20">
        <v>5125.8</v>
      </c>
      <c r="R16" s="20">
        <v>5125.8</v>
      </c>
      <c r="S16" s="20">
        <v>5125.8</v>
      </c>
      <c r="T16" s="20">
        <v>5125.8</v>
      </c>
      <c r="U16" s="20">
        <v>5125.8</v>
      </c>
      <c r="V16" s="18">
        <v>5125.8</v>
      </c>
      <c r="W16" s="17">
        <v>5125.8</v>
      </c>
    </row>
    <row r="17" spans="1:23" x14ac:dyDescent="0.25">
      <c r="A17" s="14" t="s">
        <v>40</v>
      </c>
      <c r="B17" s="16">
        <v>5052.6000000000004</v>
      </c>
      <c r="C17" s="16">
        <v>5052.6000000000004</v>
      </c>
      <c r="D17" s="16">
        <v>5052.6000000000004</v>
      </c>
      <c r="E17" s="16">
        <v>5052.6000000000004</v>
      </c>
      <c r="F17" s="16">
        <v>5052.6000000000004</v>
      </c>
      <c r="G17" s="16">
        <v>5052.6000000000004</v>
      </c>
      <c r="H17" s="16">
        <v>5052.6000000000004</v>
      </c>
      <c r="I17" s="20">
        <v>5166.8999999999996</v>
      </c>
      <c r="J17" s="20">
        <v>5311.5</v>
      </c>
      <c r="K17" s="20">
        <v>5481</v>
      </c>
      <c r="L17" s="20">
        <v>5652.6</v>
      </c>
      <c r="M17" s="20">
        <v>5926.5</v>
      </c>
      <c r="N17" s="20">
        <v>6158.7</v>
      </c>
      <c r="O17" s="20">
        <v>6402.6</v>
      </c>
      <c r="P17" s="20">
        <v>6776.4</v>
      </c>
      <c r="Q17" s="20">
        <v>6776.4</v>
      </c>
      <c r="R17" s="20">
        <v>7114.8</v>
      </c>
      <c r="S17" s="20">
        <v>7114.8</v>
      </c>
      <c r="T17" s="20">
        <v>7470.6</v>
      </c>
      <c r="U17" s="20">
        <v>7470.6</v>
      </c>
      <c r="V17" s="20">
        <v>7844.7</v>
      </c>
      <c r="W17" s="20">
        <v>7844.7</v>
      </c>
    </row>
    <row r="18" spans="1:23" x14ac:dyDescent="0.25">
      <c r="A18" s="14" t="s">
        <v>41</v>
      </c>
      <c r="B18" s="16">
        <v>4136.1000000000004</v>
      </c>
      <c r="C18" s="16">
        <v>4136.1000000000004</v>
      </c>
      <c r="D18" s="16">
        <v>4136.1000000000004</v>
      </c>
      <c r="E18" s="16">
        <v>4136.1000000000004</v>
      </c>
      <c r="F18" s="16">
        <v>4136.1000000000004</v>
      </c>
      <c r="G18" s="16">
        <v>4136.1000000000004</v>
      </c>
      <c r="H18" s="20">
        <v>4318.8</v>
      </c>
      <c r="I18" s="20">
        <v>4432.2</v>
      </c>
      <c r="J18" s="20">
        <v>4567.8</v>
      </c>
      <c r="K18" s="20">
        <v>4715.1000000000004</v>
      </c>
      <c r="L18" s="20">
        <v>4980.3</v>
      </c>
      <c r="M18" s="20">
        <v>5114.7</v>
      </c>
      <c r="N18" s="20">
        <v>5343.6</v>
      </c>
      <c r="O18" s="20">
        <v>5470.5</v>
      </c>
      <c r="P18" s="20">
        <v>5782.8</v>
      </c>
      <c r="Q18" s="20">
        <v>5782.8</v>
      </c>
      <c r="R18" s="20">
        <v>5898.9</v>
      </c>
      <c r="S18" s="20">
        <v>5898.9</v>
      </c>
      <c r="T18" s="20">
        <v>5898.9</v>
      </c>
      <c r="U18" s="20">
        <v>5898.9</v>
      </c>
      <c r="V18" s="20">
        <v>5898.9</v>
      </c>
      <c r="W18" s="20">
        <v>5898.9</v>
      </c>
    </row>
    <row r="19" spans="1:23" x14ac:dyDescent="0.25">
      <c r="A19" s="14" t="s">
        <v>42</v>
      </c>
      <c r="B19" s="20">
        <v>2875.2</v>
      </c>
      <c r="C19" s="20">
        <v>3138</v>
      </c>
      <c r="D19" s="20">
        <v>3258.3</v>
      </c>
      <c r="E19" s="20">
        <v>3417.3</v>
      </c>
      <c r="F19" s="20">
        <v>3541.8</v>
      </c>
      <c r="G19" s="20">
        <v>3755.1</v>
      </c>
      <c r="H19" s="20">
        <v>3875.4</v>
      </c>
      <c r="I19" s="20">
        <v>4088.7</v>
      </c>
      <c r="J19" s="20">
        <v>4266.6000000000004</v>
      </c>
      <c r="K19" s="20">
        <v>4387.8</v>
      </c>
      <c r="L19" s="20">
        <v>4516.8</v>
      </c>
      <c r="M19" s="20">
        <v>4566.6000000000004</v>
      </c>
      <c r="N19" s="20">
        <v>4734.6000000000004</v>
      </c>
      <c r="O19" s="20">
        <v>4824.6000000000004</v>
      </c>
      <c r="P19" s="20">
        <v>5167.5</v>
      </c>
      <c r="Q19" s="20">
        <v>5167.5</v>
      </c>
      <c r="R19" s="20">
        <v>5167.5</v>
      </c>
      <c r="S19" s="20">
        <v>5167.5</v>
      </c>
      <c r="T19" s="20">
        <v>5167.5</v>
      </c>
      <c r="U19" s="20">
        <v>5167.5</v>
      </c>
      <c r="V19" s="18">
        <v>5167.5</v>
      </c>
      <c r="W19" s="17">
        <v>5167.5</v>
      </c>
    </row>
    <row r="20" spans="1:23" x14ac:dyDescent="0.25">
      <c r="A20" s="14" t="s">
        <v>43</v>
      </c>
      <c r="B20" s="20">
        <v>2486.6999999999998</v>
      </c>
      <c r="C20" s="20">
        <v>2736.6</v>
      </c>
      <c r="D20" s="20">
        <v>2857.2</v>
      </c>
      <c r="E20" s="20">
        <v>2974.8</v>
      </c>
      <c r="F20" s="20">
        <v>3097.2</v>
      </c>
      <c r="G20" s="20">
        <v>3372.6</v>
      </c>
      <c r="H20" s="20">
        <v>3480.3</v>
      </c>
      <c r="I20" s="20">
        <v>3688.2</v>
      </c>
      <c r="J20" s="20">
        <v>3751.5</v>
      </c>
      <c r="K20" s="20">
        <v>3797.7</v>
      </c>
      <c r="L20" s="20">
        <v>3851.7</v>
      </c>
      <c r="M20" s="20">
        <v>3851.7</v>
      </c>
      <c r="N20" s="20">
        <v>3851.7</v>
      </c>
      <c r="O20" s="20">
        <v>3851.7</v>
      </c>
      <c r="P20" s="20">
        <v>3851.7</v>
      </c>
      <c r="Q20" s="20">
        <v>3851.7</v>
      </c>
      <c r="R20" s="20">
        <v>3851.7</v>
      </c>
      <c r="S20" s="20">
        <v>3851.7</v>
      </c>
      <c r="T20" s="20">
        <v>3851.7</v>
      </c>
      <c r="U20" s="20">
        <v>3851.7</v>
      </c>
      <c r="V20" s="18">
        <v>3851.7</v>
      </c>
      <c r="W20" s="17">
        <v>3851.7</v>
      </c>
    </row>
    <row r="21" spans="1:23" x14ac:dyDescent="0.25">
      <c r="A21" s="14" t="s">
        <v>44</v>
      </c>
      <c r="B21" s="20">
        <v>2278.1999999999998</v>
      </c>
      <c r="C21" s="20">
        <v>2431.5</v>
      </c>
      <c r="D21" s="20">
        <v>2549.1</v>
      </c>
      <c r="E21" s="20">
        <v>2669.1</v>
      </c>
      <c r="F21" s="20">
        <v>2856.6</v>
      </c>
      <c r="G21" s="20">
        <v>3052.5</v>
      </c>
      <c r="H21" s="20">
        <v>3213.6</v>
      </c>
      <c r="I21" s="20">
        <v>3232.8</v>
      </c>
      <c r="J21" s="20">
        <v>3232.8</v>
      </c>
      <c r="K21" s="20">
        <v>3232.8</v>
      </c>
      <c r="L21" s="20">
        <v>3232.8</v>
      </c>
      <c r="M21" s="20">
        <v>3232.8</v>
      </c>
      <c r="N21" s="20">
        <v>3232.8</v>
      </c>
      <c r="O21" s="20">
        <v>3232.8</v>
      </c>
      <c r="P21" s="20">
        <v>3232.8</v>
      </c>
      <c r="Q21" s="20">
        <v>3232.8</v>
      </c>
      <c r="R21" s="20">
        <v>3232.8</v>
      </c>
      <c r="S21" s="20">
        <v>3232.8</v>
      </c>
      <c r="T21" s="20">
        <v>3232.8</v>
      </c>
      <c r="U21" s="20">
        <v>3232.8</v>
      </c>
      <c r="V21" s="18">
        <v>3232.8</v>
      </c>
      <c r="W21" s="17">
        <v>3232.8</v>
      </c>
    </row>
    <row r="22" spans="1:23" x14ac:dyDescent="0.25">
      <c r="A22" s="14" t="s">
        <v>45</v>
      </c>
      <c r="B22" s="20">
        <v>2088.9</v>
      </c>
      <c r="C22" s="20">
        <v>2195.6999999999998</v>
      </c>
      <c r="D22" s="20">
        <v>2314.8000000000002</v>
      </c>
      <c r="E22" s="20">
        <v>2432.1</v>
      </c>
      <c r="F22" s="20">
        <v>2535.6</v>
      </c>
      <c r="G22" s="20">
        <v>2535.6</v>
      </c>
      <c r="H22" s="20">
        <v>2535.6</v>
      </c>
      <c r="I22" s="20">
        <v>2535.6</v>
      </c>
      <c r="J22" s="20">
        <v>2535.6</v>
      </c>
      <c r="K22" s="20">
        <v>2535.6</v>
      </c>
      <c r="L22" s="20">
        <v>2535.6</v>
      </c>
      <c r="M22" s="20">
        <v>2535.6</v>
      </c>
      <c r="N22" s="20">
        <v>2535.6</v>
      </c>
      <c r="O22" s="20">
        <v>2535.6</v>
      </c>
      <c r="P22" s="20">
        <v>2535.6</v>
      </c>
      <c r="Q22" s="20">
        <v>2535.6</v>
      </c>
      <c r="R22" s="20">
        <v>2535.6</v>
      </c>
      <c r="S22" s="20">
        <v>2535.6</v>
      </c>
      <c r="T22" s="20">
        <v>2535.6</v>
      </c>
      <c r="U22" s="20">
        <v>2535.6</v>
      </c>
      <c r="V22" s="18">
        <v>2535.6</v>
      </c>
      <c r="W22" s="17">
        <v>2535.6</v>
      </c>
    </row>
    <row r="23" spans="1:23" x14ac:dyDescent="0.25">
      <c r="A23" s="14" t="s">
        <v>46</v>
      </c>
      <c r="B23" s="20">
        <v>1885.8</v>
      </c>
      <c r="C23" s="20">
        <v>2004.3</v>
      </c>
      <c r="D23" s="20">
        <v>2125.8000000000002</v>
      </c>
      <c r="E23" s="20">
        <v>2125.8000000000002</v>
      </c>
      <c r="F23" s="20">
        <v>2125.8000000000002</v>
      </c>
      <c r="G23" s="20">
        <v>2125.8000000000002</v>
      </c>
      <c r="H23" s="20">
        <v>2125.8000000000002</v>
      </c>
      <c r="I23" s="20">
        <v>2125.8000000000002</v>
      </c>
      <c r="J23" s="20">
        <v>2125.8000000000002</v>
      </c>
      <c r="K23" s="20">
        <v>2125.8000000000002</v>
      </c>
      <c r="L23" s="20">
        <v>2125.8000000000002</v>
      </c>
      <c r="M23" s="20">
        <v>2125.8000000000002</v>
      </c>
      <c r="N23" s="20">
        <v>2125.8000000000002</v>
      </c>
      <c r="O23" s="20">
        <v>2125.8000000000002</v>
      </c>
      <c r="P23" s="20">
        <v>2125.8000000000002</v>
      </c>
      <c r="Q23" s="20">
        <v>2125.8000000000002</v>
      </c>
      <c r="R23" s="20">
        <v>2125.8000000000002</v>
      </c>
      <c r="S23" s="20">
        <v>2125.8000000000002</v>
      </c>
      <c r="T23" s="20">
        <v>2125.8000000000002</v>
      </c>
      <c r="U23" s="20">
        <v>2125.8000000000002</v>
      </c>
      <c r="V23" s="18">
        <v>2125.8000000000002</v>
      </c>
      <c r="W23" s="17">
        <v>2125.8000000000002</v>
      </c>
    </row>
    <row r="24" spans="1:23" x14ac:dyDescent="0.25">
      <c r="A24" s="14" t="s">
        <v>47</v>
      </c>
      <c r="B24" s="20">
        <v>1793.4</v>
      </c>
      <c r="C24" s="20">
        <v>1793.4</v>
      </c>
      <c r="D24" s="20">
        <v>1793.4</v>
      </c>
      <c r="E24" s="20">
        <v>1793.4</v>
      </c>
      <c r="F24" s="20">
        <v>1793.4</v>
      </c>
      <c r="G24" s="20">
        <v>1793.4</v>
      </c>
      <c r="H24" s="20">
        <v>1793.4</v>
      </c>
      <c r="I24" s="20">
        <v>1793.4</v>
      </c>
      <c r="J24" s="20">
        <v>1793.4</v>
      </c>
      <c r="K24" s="20">
        <v>1793.4</v>
      </c>
      <c r="L24" s="20">
        <v>1793.4</v>
      </c>
      <c r="M24" s="20">
        <v>1793.4</v>
      </c>
      <c r="N24" s="20">
        <v>1793.4</v>
      </c>
      <c r="O24" s="20">
        <v>1793.4</v>
      </c>
      <c r="P24" s="20">
        <v>1793.4</v>
      </c>
      <c r="Q24" s="20">
        <v>1793.4</v>
      </c>
      <c r="R24" s="20">
        <v>1793.4</v>
      </c>
      <c r="S24" s="20">
        <v>1793.4</v>
      </c>
      <c r="T24" s="20">
        <v>1793.4</v>
      </c>
      <c r="U24" s="20">
        <v>1793.4</v>
      </c>
      <c r="V24" s="18">
        <v>1793.4</v>
      </c>
      <c r="W24" s="17">
        <v>1793.4</v>
      </c>
    </row>
    <row r="25" spans="1:23" x14ac:dyDescent="0.25">
      <c r="A25" s="14" t="s">
        <v>56</v>
      </c>
      <c r="B25" s="20">
        <v>1599.9</v>
      </c>
      <c r="C25" s="20">
        <v>1599.9</v>
      </c>
      <c r="D25" s="20">
        <v>1599.9</v>
      </c>
      <c r="E25" s="20">
        <v>1599.9</v>
      </c>
      <c r="F25" s="20">
        <v>1599.9</v>
      </c>
      <c r="G25" s="20">
        <v>1599.9</v>
      </c>
      <c r="H25" s="20">
        <v>1599.9</v>
      </c>
      <c r="I25" s="20">
        <v>1599.9</v>
      </c>
      <c r="J25" s="20">
        <v>1599.9</v>
      </c>
      <c r="K25" s="20">
        <v>1599.9</v>
      </c>
      <c r="L25" s="20">
        <v>1599.9</v>
      </c>
      <c r="M25" s="20">
        <v>1599.9</v>
      </c>
      <c r="N25" s="20">
        <v>1599.9</v>
      </c>
      <c r="O25" s="20">
        <v>1599.9</v>
      </c>
      <c r="P25" s="20">
        <v>1599.9</v>
      </c>
      <c r="Q25" s="20">
        <v>1599.9</v>
      </c>
      <c r="R25" s="18">
        <v>1599.9</v>
      </c>
      <c r="S25" s="18">
        <v>1599.9</v>
      </c>
      <c r="T25" s="18">
        <v>1599.9</v>
      </c>
      <c r="U25" s="17">
        <v>1599.9</v>
      </c>
      <c r="V25" s="17">
        <v>1599.9</v>
      </c>
      <c r="W25" s="17">
        <v>1599.9</v>
      </c>
    </row>
  </sheetData>
  <sheetProtection sheet="1" objects="1" scenarios="1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53066-DE48-4D14-8D44-B95D19C214A7}">
  <sheetPr codeName="Sheet3"/>
  <dimension ref="A1:R43"/>
  <sheetViews>
    <sheetView workbookViewId="0">
      <pane ySplit="4" topLeftCell="A5" activePane="bottomLeft" state="frozen"/>
      <selection pane="bottomLeft" activeCell="K6" sqref="K6"/>
    </sheetView>
  </sheetViews>
  <sheetFormatPr defaultRowHeight="15" x14ac:dyDescent="0.25"/>
  <cols>
    <col min="1" max="1" width="7.42578125" style="21" bestFit="1" customWidth="1"/>
    <col min="2" max="2" width="7.42578125" style="21" customWidth="1"/>
    <col min="3" max="3" width="13.7109375" style="21" bestFit="1" customWidth="1"/>
    <col min="4" max="4" width="13.7109375" style="21" customWidth="1"/>
    <col min="5" max="5" width="27" style="21" bestFit="1" customWidth="1"/>
    <col min="6" max="6" width="27" style="21" customWidth="1"/>
    <col min="7" max="7" width="20.5703125" style="21" customWidth="1"/>
    <col min="8" max="8" width="11.5703125" style="21" bestFit="1" customWidth="1"/>
    <col min="9" max="9" width="12.7109375" style="21" bestFit="1" customWidth="1"/>
    <col min="10" max="11" width="12" style="21" bestFit="1" customWidth="1"/>
    <col min="12" max="12" width="21.85546875" style="21" bestFit="1" customWidth="1"/>
    <col min="13" max="13" width="21.140625" style="21" bestFit="1" customWidth="1"/>
    <col min="14" max="14" width="18.42578125" style="21" bestFit="1" customWidth="1"/>
    <col min="15" max="15" width="18.42578125" style="21" customWidth="1"/>
    <col min="16" max="16" width="13.7109375" style="21" bestFit="1" customWidth="1"/>
    <col min="17" max="17" width="10.5703125" style="21" bestFit="1" customWidth="1"/>
    <col min="18" max="18" width="11.5703125" style="21" bestFit="1" customWidth="1"/>
    <col min="19" max="16384" width="9.140625" style="21"/>
  </cols>
  <sheetData>
    <row r="1" spans="1:18" x14ac:dyDescent="0.25">
      <c r="A1" s="95" t="s">
        <v>86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8" x14ac:dyDescent="0.25">
      <c r="C2" s="21" t="s">
        <v>114</v>
      </c>
      <c r="D2" s="21" t="s">
        <v>115</v>
      </c>
      <c r="M2" s="21" t="s">
        <v>8</v>
      </c>
      <c r="N2" s="21" t="s">
        <v>9</v>
      </c>
      <c r="P2" s="21" t="s">
        <v>10</v>
      </c>
    </row>
    <row r="3" spans="1:18" x14ac:dyDescent="0.25">
      <c r="M3" s="21">
        <f>'Retirment Pay Summary'!B6</f>
        <v>80</v>
      </c>
      <c r="N3" s="21" t="str">
        <f>'Retirment Pay Summary'!B4</f>
        <v>Married with Child</v>
      </c>
      <c r="P3" s="21">
        <f>'Retirment Pay Summary'!B5</f>
        <v>2</v>
      </c>
      <c r="Q3" s="33"/>
    </row>
    <row r="4" spans="1:18" x14ac:dyDescent="0.25">
      <c r="A4" s="21" t="s">
        <v>0</v>
      </c>
      <c r="B4" s="21" t="s">
        <v>58</v>
      </c>
      <c r="C4" s="21" t="s">
        <v>59</v>
      </c>
      <c r="D4" s="21" t="s">
        <v>61</v>
      </c>
      <c r="E4" s="21" t="s">
        <v>62</v>
      </c>
      <c r="F4" s="21" t="s">
        <v>64</v>
      </c>
      <c r="G4" s="21" t="s">
        <v>63</v>
      </c>
      <c r="H4" s="21" t="s">
        <v>1</v>
      </c>
      <c r="I4" s="21" t="s">
        <v>17</v>
      </c>
      <c r="J4" s="21" t="s">
        <v>2</v>
      </c>
      <c r="K4" s="21" t="s">
        <v>3</v>
      </c>
      <c r="L4" s="21" t="s">
        <v>12</v>
      </c>
      <c r="M4" s="21" t="s">
        <v>11</v>
      </c>
      <c r="O4" s="21" t="s">
        <v>23</v>
      </c>
    </row>
    <row r="5" spans="1:18" x14ac:dyDescent="0.25">
      <c r="A5" s="34">
        <f>EDATE(A$41,36)</f>
        <v>44044</v>
      </c>
      <c r="B5" s="36">
        <f>YEAR(A5)</f>
        <v>2020</v>
      </c>
      <c r="C5" s="37">
        <f>EVEN((ROUNDDOWN((DATEDIF('Retirment Pay Summary'!$B$2,'Retirement Pay Calculations'!A5,"M")/12),0))-1)</f>
        <v>20</v>
      </c>
      <c r="D5" s="37" t="str">
        <f>IF(A5&gt;='Retirment Pay Summary'!$B$9, 'Retirment Pay Summary'!$B$8,(INDEX('2019 Pay Chart'!$A$2:$A$25,(MATCH('Retirment Pay Summary'!$B$8,'2019 Pay Chart'!$A$2:$A$25,)+1))))</f>
        <v>W-4</v>
      </c>
      <c r="E5" s="37" t="str">
        <f>"'" &amp;B5&amp;" Pay Chart'!$A$1:$W$25"</f>
        <v>'2020 Pay Chart'!$A$1:$W$25</v>
      </c>
      <c r="F5" s="37" t="str">
        <f>"'" &amp;B5&amp;" Pay Chart'!$A$1:$W$1"</f>
        <v>'2020 Pay Chart'!$A$1:$W$1</v>
      </c>
      <c r="G5" s="37">
        <f ca="1">MATCH(C5,INDIRECT(F5),0)</f>
        <v>13</v>
      </c>
      <c r="H5" s="1">
        <f t="shared" ref="H5:H10" ca="1" si="0">VLOOKUP(D5,INDIRECT(E5),G5,FALSE)</f>
        <v>7309.2</v>
      </c>
      <c r="I5" s="37">
        <f>DATEDIF('Retirment Pay Summary'!B2,'Retirment Pay Summary'!B3,"M")-(12*20)</f>
        <v>13</v>
      </c>
      <c r="J5" s="38">
        <f>IF(I5=0,0.5,0.5+((0.025/12)*I5))</f>
        <v>0.52708333333333335</v>
      </c>
      <c r="K5" s="39">
        <f ca="1">IF(Information!B10="Yes",AVERAGE(H5:H41),0)</f>
        <v>6636.1216216216208</v>
      </c>
      <c r="L5" s="1">
        <f ca="1">K5*J5</f>
        <v>3497.7891047297294</v>
      </c>
      <c r="M5" s="1">
        <f>VLOOKUP(N3,'Disability Payment'!A3:L7,MATCH(M$3,'Disability Payment'!A2:L2),TRUE)+IF(P$3&gt;=2,VLOOKUP("Additional Child",'Disability Payment'!A7:L7,MATCH(M$3,'Disability Payment'!A2:L2)),0)*(P$3-1)</f>
        <v>1934.69</v>
      </c>
      <c r="N5" s="1"/>
      <c r="O5" s="1">
        <f ca="1">IF('Retirment Pay Summary'!B10="Yes",IF(M$3&gt;=50,0.065*(L5),0.065*(L5-M5)),0)</f>
        <v>227.35629180743243</v>
      </c>
      <c r="P5" s="1"/>
      <c r="Q5" s="1"/>
      <c r="R5" s="1"/>
    </row>
    <row r="6" spans="1:18" x14ac:dyDescent="0.25">
      <c r="A6" s="34">
        <f>EDATE(A$41,35)</f>
        <v>44013</v>
      </c>
      <c r="B6" s="36">
        <f t="shared" ref="B6:B41" si="1">YEAR(A6)</f>
        <v>2020</v>
      </c>
      <c r="C6" s="37">
        <f>EVEN((ROUNDDOWN((DATEDIF('Retirment Pay Summary'!$B$2,'Retirement Pay Calculations'!A6,"M")/12),0))-1)</f>
        <v>20</v>
      </c>
      <c r="D6" s="37" t="str">
        <f>IF(A6&gt;='Retirment Pay Summary'!$B$9, 'Retirment Pay Summary'!$B$8,(INDEX('2019 Pay Chart'!$A$2:$A$25,(MATCH('Retirment Pay Summary'!$B$8,'2019 Pay Chart'!$A$2:$A$25,)+1))))</f>
        <v>W-4</v>
      </c>
      <c r="E6" s="37" t="str">
        <f t="shared" ref="E6:E41" si="2">"'" &amp;B6&amp;" Pay Chart'!$A$1:$W$25"</f>
        <v>'2020 Pay Chart'!$A$1:$W$25</v>
      </c>
      <c r="F6" s="37" t="str">
        <f t="shared" ref="F6:F41" si="3">"'" &amp;B6&amp;" Pay Chart'!$A$1:$W$1"</f>
        <v>'2020 Pay Chart'!$A$1:$W$1</v>
      </c>
      <c r="G6" s="37">
        <f t="shared" ref="G6:G41" ca="1" si="4">MATCH(C6,INDIRECT(F6),0)</f>
        <v>13</v>
      </c>
      <c r="H6" s="1">
        <f t="shared" ca="1" si="0"/>
        <v>7309.2</v>
      </c>
    </row>
    <row r="7" spans="1:18" x14ac:dyDescent="0.25">
      <c r="A7" s="34">
        <f>EDATE(A$41,34)</f>
        <v>43983</v>
      </c>
      <c r="B7" s="36">
        <f t="shared" si="1"/>
        <v>2020</v>
      </c>
      <c r="C7" s="37">
        <f>EVEN((ROUNDDOWN((DATEDIF('Retirment Pay Summary'!$B$2,'Retirement Pay Calculations'!A7,"M")/12),0))-1)</f>
        <v>20</v>
      </c>
      <c r="D7" s="37" t="str">
        <f>IF(A7&gt;='Retirment Pay Summary'!$B$9, 'Retirment Pay Summary'!$B$8,(INDEX('2019 Pay Chart'!$A$2:$A$25,(MATCH('Retirment Pay Summary'!$B$8,'2019 Pay Chart'!$A$2:$A$25,)+1))))</f>
        <v>W-4</v>
      </c>
      <c r="E7" s="37" t="str">
        <f t="shared" si="2"/>
        <v>'2020 Pay Chart'!$A$1:$W$25</v>
      </c>
      <c r="F7" s="37" t="str">
        <f t="shared" si="3"/>
        <v>'2020 Pay Chart'!$A$1:$W$1</v>
      </c>
      <c r="G7" s="37">
        <f t="shared" ca="1" si="4"/>
        <v>13</v>
      </c>
      <c r="H7" s="1">
        <f t="shared" ca="1" si="0"/>
        <v>7309.2</v>
      </c>
    </row>
    <row r="8" spans="1:18" x14ac:dyDescent="0.25">
      <c r="A8" s="34">
        <f>EDATE(A$41,33)</f>
        <v>43952</v>
      </c>
      <c r="B8" s="36">
        <f t="shared" si="1"/>
        <v>2020</v>
      </c>
      <c r="C8" s="37">
        <f>EVEN((ROUNDDOWN((DATEDIF('Retirment Pay Summary'!$B$2,'Retirement Pay Calculations'!A8,"M")/12),0))-1)</f>
        <v>20</v>
      </c>
      <c r="D8" s="37" t="str">
        <f>IF(A8&gt;='Retirment Pay Summary'!$B$9, 'Retirment Pay Summary'!$B$8,(INDEX('2019 Pay Chart'!$A$2:$A$25,(MATCH('Retirment Pay Summary'!$B$8,'2019 Pay Chart'!$A$2:$A$25,)+1))))</f>
        <v>W-4</v>
      </c>
      <c r="E8" s="37" t="str">
        <f t="shared" si="2"/>
        <v>'2020 Pay Chart'!$A$1:$W$25</v>
      </c>
      <c r="F8" s="37" t="str">
        <f t="shared" si="3"/>
        <v>'2020 Pay Chart'!$A$1:$W$1</v>
      </c>
      <c r="G8" s="37">
        <f t="shared" ca="1" si="4"/>
        <v>13</v>
      </c>
      <c r="H8" s="1">
        <f t="shared" ca="1" si="0"/>
        <v>7309.2</v>
      </c>
    </row>
    <row r="9" spans="1:18" x14ac:dyDescent="0.25">
      <c r="A9" s="34">
        <f>EDATE(A$41,32)</f>
        <v>43922</v>
      </c>
      <c r="B9" s="36">
        <f t="shared" si="1"/>
        <v>2020</v>
      </c>
      <c r="C9" s="37">
        <f>EVEN((ROUNDDOWN((DATEDIF('Retirment Pay Summary'!$B$2,'Retirement Pay Calculations'!A9,"M")/12),0))-1)</f>
        <v>20</v>
      </c>
      <c r="D9" s="37" t="str">
        <f>IF(A9&gt;='Retirment Pay Summary'!$B$9, 'Retirment Pay Summary'!$B$8,(INDEX('2019 Pay Chart'!$A$2:$A$25,(MATCH('Retirment Pay Summary'!$B$8,'2019 Pay Chart'!$A$2:$A$25,)+1))))</f>
        <v>W-4</v>
      </c>
      <c r="E9" s="37" t="str">
        <f t="shared" si="2"/>
        <v>'2020 Pay Chart'!$A$1:$W$25</v>
      </c>
      <c r="F9" s="37" t="str">
        <f t="shared" si="3"/>
        <v>'2020 Pay Chart'!$A$1:$W$1</v>
      </c>
      <c r="G9" s="37">
        <f t="shared" ca="1" si="4"/>
        <v>13</v>
      </c>
      <c r="H9" s="1">
        <f t="shared" ca="1" si="0"/>
        <v>7309.2</v>
      </c>
    </row>
    <row r="10" spans="1:18" x14ac:dyDescent="0.25">
      <c r="A10" s="34">
        <f>EDATE(A$41,31)</f>
        <v>43891</v>
      </c>
      <c r="B10" s="36">
        <f t="shared" si="1"/>
        <v>2020</v>
      </c>
      <c r="C10" s="37">
        <f>EVEN((ROUNDDOWN((DATEDIF('Retirment Pay Summary'!$B$2,'Retirement Pay Calculations'!A10,"M")/12),0))-1)</f>
        <v>20</v>
      </c>
      <c r="D10" s="37" t="str">
        <f>IF(A10&gt;='Retirment Pay Summary'!$B$9, 'Retirment Pay Summary'!$B$8,(INDEX('2019 Pay Chart'!$A$2:$A$25,(MATCH('Retirment Pay Summary'!$B$8,'2019 Pay Chart'!$A$2:$A$25,)+1))))</f>
        <v>W-4</v>
      </c>
      <c r="E10" s="37" t="str">
        <f t="shared" si="2"/>
        <v>'2020 Pay Chart'!$A$1:$W$25</v>
      </c>
      <c r="F10" s="37" t="str">
        <f t="shared" si="3"/>
        <v>'2020 Pay Chart'!$A$1:$W$1</v>
      </c>
      <c r="G10" s="37">
        <f t="shared" ca="1" si="4"/>
        <v>13</v>
      </c>
      <c r="H10" s="1">
        <f t="shared" ca="1" si="0"/>
        <v>7309.2</v>
      </c>
    </row>
    <row r="11" spans="1:18" x14ac:dyDescent="0.25">
      <c r="A11" s="34">
        <f>EDATE(A$41,30)</f>
        <v>43862</v>
      </c>
      <c r="B11" s="36">
        <f t="shared" si="1"/>
        <v>2020</v>
      </c>
      <c r="C11" s="37">
        <f>EVEN((ROUNDDOWN((DATEDIF('Retirment Pay Summary'!$B$2,'Retirement Pay Calculations'!A11,"M")/12),0))-1)</f>
        <v>20</v>
      </c>
      <c r="D11" s="37" t="str">
        <f>IF(A11&gt;='Retirment Pay Summary'!$B$9, 'Retirment Pay Summary'!$B$8,(INDEX('2019 Pay Chart'!$A$2:$A$25,(MATCH('Retirment Pay Summary'!$B$8,'2019 Pay Chart'!$A$2:$A$25,)+1))))</f>
        <v>W-4</v>
      </c>
      <c r="E11" s="37" t="str">
        <f t="shared" si="2"/>
        <v>'2020 Pay Chart'!$A$1:$W$25</v>
      </c>
      <c r="F11" s="37" t="str">
        <f t="shared" si="3"/>
        <v>'2020 Pay Chart'!$A$1:$W$1</v>
      </c>
      <c r="G11" s="37">
        <f ca="1">MATCH(C11,INDIRECT(F11),0)</f>
        <v>13</v>
      </c>
      <c r="H11" s="1">
        <f ca="1">VLOOKUP(D11,INDIRECT(E11),G11,FALSE)</f>
        <v>7309.2</v>
      </c>
    </row>
    <row r="12" spans="1:18" x14ac:dyDescent="0.25">
      <c r="A12" s="34">
        <f>EDATE(A$41,29)</f>
        <v>43831</v>
      </c>
      <c r="B12" s="36">
        <f t="shared" si="1"/>
        <v>2020</v>
      </c>
      <c r="C12" s="37">
        <f>EVEN((ROUNDDOWN((DATEDIF('Retirment Pay Summary'!$B$2,'Retirement Pay Calculations'!A12,"M")/12),0))-1)</f>
        <v>20</v>
      </c>
      <c r="D12" s="37" t="str">
        <f>IF(A12&gt;='Retirment Pay Summary'!$B$9, 'Retirment Pay Summary'!$B$8,(INDEX('2019 Pay Chart'!$A$2:$A$25,(MATCH('Retirment Pay Summary'!$B$8,'2019 Pay Chart'!$A$2:$A$25,)+1))))</f>
        <v>W-4</v>
      </c>
      <c r="E12" s="37" t="str">
        <f t="shared" si="2"/>
        <v>'2020 Pay Chart'!$A$1:$W$25</v>
      </c>
      <c r="F12" s="37" t="str">
        <f t="shared" si="3"/>
        <v>'2020 Pay Chart'!$A$1:$W$1</v>
      </c>
      <c r="G12" s="37">
        <f t="shared" ca="1" si="4"/>
        <v>13</v>
      </c>
      <c r="H12" s="1">
        <f t="shared" ref="H12:H41" ca="1" si="5">VLOOKUP(D12,INDIRECT(E12),G12,FALSE)</f>
        <v>7309.2</v>
      </c>
    </row>
    <row r="13" spans="1:18" x14ac:dyDescent="0.25">
      <c r="A13" s="34">
        <f>EDATE(A$41,28)</f>
        <v>43800</v>
      </c>
      <c r="B13" s="36">
        <f t="shared" si="1"/>
        <v>2019</v>
      </c>
      <c r="C13" s="37">
        <f>EVEN((ROUNDDOWN((DATEDIF('Retirment Pay Summary'!$B$2,'Retirement Pay Calculations'!A13,"M")/12),0))-1)</f>
        <v>20</v>
      </c>
      <c r="D13" s="37" t="str">
        <f>IF(A13&gt;='Retirment Pay Summary'!$B$9, 'Retirment Pay Summary'!$B$8,(INDEX('2019 Pay Chart'!$A$2:$A$25,(MATCH('Retirment Pay Summary'!$B$8,'2019 Pay Chart'!$A$2:$A$25,)+1))))</f>
        <v>W-4</v>
      </c>
      <c r="E13" s="37" t="str">
        <f t="shared" si="2"/>
        <v>'2019 Pay Chart'!$A$1:$W$25</v>
      </c>
      <c r="F13" s="37" t="str">
        <f t="shared" si="3"/>
        <v>'2019 Pay Chart'!$A$1:$W$1</v>
      </c>
      <c r="G13" s="37">
        <f t="shared" ca="1" si="4"/>
        <v>13</v>
      </c>
      <c r="H13" s="1">
        <f t="shared" ca="1" si="5"/>
        <v>7089.3</v>
      </c>
    </row>
    <row r="14" spans="1:18" x14ac:dyDescent="0.25">
      <c r="A14" s="34">
        <f>EDATE(A$41,27)</f>
        <v>43770</v>
      </c>
      <c r="B14" s="36">
        <f t="shared" si="1"/>
        <v>2019</v>
      </c>
      <c r="C14" s="37">
        <f>EVEN((ROUNDDOWN((DATEDIF('Retirment Pay Summary'!$B$2,'Retirement Pay Calculations'!A14,"M")/12),0))-1)</f>
        <v>20</v>
      </c>
      <c r="D14" s="37" t="str">
        <f>IF(A14&gt;='Retirment Pay Summary'!$B$9, 'Retirment Pay Summary'!$B$8,(INDEX('2019 Pay Chart'!$A$2:$A$25,(MATCH('Retirment Pay Summary'!$B$8,'2019 Pay Chart'!$A$2:$A$25,)+1))))</f>
        <v>W-4</v>
      </c>
      <c r="E14" s="37" t="str">
        <f t="shared" si="2"/>
        <v>'2019 Pay Chart'!$A$1:$W$25</v>
      </c>
      <c r="F14" s="37" t="str">
        <f t="shared" si="3"/>
        <v>'2019 Pay Chart'!$A$1:$W$1</v>
      </c>
      <c r="G14" s="37">
        <f t="shared" ca="1" si="4"/>
        <v>13</v>
      </c>
      <c r="H14" s="1">
        <f t="shared" ca="1" si="5"/>
        <v>7089.3</v>
      </c>
    </row>
    <row r="15" spans="1:18" x14ac:dyDescent="0.25">
      <c r="A15" s="34">
        <f>EDATE(A$41,26)</f>
        <v>43739</v>
      </c>
      <c r="B15" s="36">
        <f t="shared" si="1"/>
        <v>2019</v>
      </c>
      <c r="C15" s="37">
        <f>EVEN((ROUNDDOWN((DATEDIF('Retirment Pay Summary'!$B$2,'Retirement Pay Calculations'!A15,"M")/12),0))-1)</f>
        <v>20</v>
      </c>
      <c r="D15" s="37" t="str">
        <f>IF(A15&gt;='Retirment Pay Summary'!$B$9, 'Retirment Pay Summary'!$B$8,(INDEX('2019 Pay Chart'!$A$2:$A$25,(MATCH('Retirment Pay Summary'!$B$8,'2019 Pay Chart'!$A$2:$A$25,)+1))))</f>
        <v>W-4</v>
      </c>
      <c r="E15" s="37" t="str">
        <f t="shared" si="2"/>
        <v>'2019 Pay Chart'!$A$1:$W$25</v>
      </c>
      <c r="F15" s="37" t="str">
        <f t="shared" si="3"/>
        <v>'2019 Pay Chart'!$A$1:$W$1</v>
      </c>
      <c r="G15" s="37">
        <f t="shared" ca="1" si="4"/>
        <v>13</v>
      </c>
      <c r="H15" s="1">
        <f t="shared" ca="1" si="5"/>
        <v>7089.3</v>
      </c>
    </row>
    <row r="16" spans="1:18" x14ac:dyDescent="0.25">
      <c r="A16" s="34">
        <f>EDATE(A$41,25)</f>
        <v>43709</v>
      </c>
      <c r="B16" s="36">
        <f t="shared" si="1"/>
        <v>2019</v>
      </c>
      <c r="C16" s="37">
        <f>EVEN((ROUNDDOWN((DATEDIF('Retirment Pay Summary'!$B$2,'Retirement Pay Calculations'!A16,"M")/12),0))-1)</f>
        <v>20</v>
      </c>
      <c r="D16" s="37" t="str">
        <f>IF(A16&gt;='Retirment Pay Summary'!$B$9, 'Retirment Pay Summary'!$B$8,(INDEX('2019 Pay Chart'!$A$2:$A$25,(MATCH('Retirment Pay Summary'!$B$8,'2019 Pay Chart'!$A$2:$A$25,)+1))))</f>
        <v>W-4</v>
      </c>
      <c r="E16" s="37" t="str">
        <f t="shared" si="2"/>
        <v>'2019 Pay Chart'!$A$1:$W$25</v>
      </c>
      <c r="F16" s="37" t="str">
        <f t="shared" si="3"/>
        <v>'2019 Pay Chart'!$A$1:$W$1</v>
      </c>
      <c r="G16" s="37">
        <f t="shared" ca="1" si="4"/>
        <v>13</v>
      </c>
      <c r="H16" s="1">
        <f t="shared" ca="1" si="5"/>
        <v>7089.3</v>
      </c>
    </row>
    <row r="17" spans="1:8" x14ac:dyDescent="0.25">
      <c r="A17" s="34">
        <f>EDATE(A$41,24)</f>
        <v>43678</v>
      </c>
      <c r="B17" s="36">
        <f t="shared" si="1"/>
        <v>2019</v>
      </c>
      <c r="C17" s="37">
        <f>EVEN((ROUNDDOWN((DATEDIF('Retirment Pay Summary'!$B$2,'Retirement Pay Calculations'!A17,"M")/12),0))-1)</f>
        <v>20</v>
      </c>
      <c r="D17" s="37" t="str">
        <f>IF(A17&gt;='Retirment Pay Summary'!$B$9, 'Retirment Pay Summary'!$B$8,(INDEX('2019 Pay Chart'!$A$2:$A$25,(MATCH('Retirment Pay Summary'!$B$8,'2019 Pay Chart'!$A$2:$A$25,)+1))))</f>
        <v>W-4</v>
      </c>
      <c r="E17" s="37" t="str">
        <f t="shared" si="2"/>
        <v>'2019 Pay Chart'!$A$1:$W$25</v>
      </c>
      <c r="F17" s="37" t="str">
        <f t="shared" si="3"/>
        <v>'2019 Pay Chart'!$A$1:$W$1</v>
      </c>
      <c r="G17" s="37">
        <f t="shared" ca="1" si="4"/>
        <v>13</v>
      </c>
      <c r="H17" s="1">
        <f t="shared" ca="1" si="5"/>
        <v>7089.3</v>
      </c>
    </row>
    <row r="18" spans="1:8" x14ac:dyDescent="0.25">
      <c r="A18" s="34">
        <f>EDATE(A$41,23)</f>
        <v>43647</v>
      </c>
      <c r="B18" s="36">
        <f t="shared" si="1"/>
        <v>2019</v>
      </c>
      <c r="C18" s="37">
        <f>EVEN((ROUNDDOWN((DATEDIF('Retirment Pay Summary'!$B$2,'Retirement Pay Calculations'!A18,"M")/12),0))-1)</f>
        <v>18</v>
      </c>
      <c r="D18" s="37" t="str">
        <f>IF(A18&gt;='Retirment Pay Summary'!$B$9, 'Retirment Pay Summary'!$B$8,(INDEX('2019 Pay Chart'!$A$2:$A$25,(MATCH('Retirment Pay Summary'!$B$8,'2019 Pay Chart'!$A$2:$A$25,)+1))))</f>
        <v>W-4</v>
      </c>
      <c r="E18" s="37" t="str">
        <f t="shared" si="2"/>
        <v>'2019 Pay Chart'!$A$1:$W$25</v>
      </c>
      <c r="F18" s="37" t="str">
        <f t="shared" si="3"/>
        <v>'2019 Pay Chart'!$A$1:$W$1</v>
      </c>
      <c r="G18" s="37">
        <f t="shared" ca="1" si="4"/>
        <v>12</v>
      </c>
      <c r="H18" s="1">
        <f t="shared" ca="1" si="5"/>
        <v>6858.6</v>
      </c>
    </row>
    <row r="19" spans="1:8" x14ac:dyDescent="0.25">
      <c r="A19" s="34">
        <f>EDATE(A$41,22)</f>
        <v>43617</v>
      </c>
      <c r="B19" s="36">
        <f t="shared" si="1"/>
        <v>2019</v>
      </c>
      <c r="C19" s="37">
        <f>EVEN((ROUNDDOWN((DATEDIF('Retirment Pay Summary'!$B$2,'Retirement Pay Calculations'!A19,"M")/12),0))-1)</f>
        <v>18</v>
      </c>
      <c r="D19" s="37" t="str">
        <f>IF(A19&gt;='Retirment Pay Summary'!$B$9, 'Retirment Pay Summary'!$B$8,(INDEX('2019 Pay Chart'!$A$2:$A$25,(MATCH('Retirment Pay Summary'!$B$8,'2019 Pay Chart'!$A$2:$A$25,)+1))))</f>
        <v>W-4</v>
      </c>
      <c r="E19" s="37" t="str">
        <f t="shared" si="2"/>
        <v>'2019 Pay Chart'!$A$1:$W$25</v>
      </c>
      <c r="F19" s="37" t="str">
        <f t="shared" si="3"/>
        <v>'2019 Pay Chart'!$A$1:$W$1</v>
      </c>
      <c r="G19" s="37">
        <f t="shared" ca="1" si="4"/>
        <v>12</v>
      </c>
      <c r="H19" s="1">
        <f t="shared" ca="1" si="5"/>
        <v>6858.6</v>
      </c>
    </row>
    <row r="20" spans="1:8" x14ac:dyDescent="0.25">
      <c r="A20" s="34">
        <f>EDATE(A$41,21)</f>
        <v>43586</v>
      </c>
      <c r="B20" s="36">
        <f t="shared" si="1"/>
        <v>2019</v>
      </c>
      <c r="C20" s="37">
        <f>EVEN((ROUNDDOWN((DATEDIF('Retirment Pay Summary'!$B$2,'Retirement Pay Calculations'!A20,"M")/12),0))-1)</f>
        <v>18</v>
      </c>
      <c r="D20" s="37" t="str">
        <f>IF(A20&gt;='Retirment Pay Summary'!$B$9, 'Retirment Pay Summary'!$B$8,(INDEX('2019 Pay Chart'!$A$2:$A$25,(MATCH('Retirment Pay Summary'!$B$8,'2019 Pay Chart'!$A$2:$A$25,)+1))))</f>
        <v>W-4</v>
      </c>
      <c r="E20" s="37" t="str">
        <f t="shared" si="2"/>
        <v>'2019 Pay Chart'!$A$1:$W$25</v>
      </c>
      <c r="F20" s="37" t="str">
        <f t="shared" si="3"/>
        <v>'2019 Pay Chart'!$A$1:$W$1</v>
      </c>
      <c r="G20" s="37">
        <f t="shared" ca="1" si="4"/>
        <v>12</v>
      </c>
      <c r="H20" s="1">
        <f t="shared" ca="1" si="5"/>
        <v>6858.6</v>
      </c>
    </row>
    <row r="21" spans="1:8" x14ac:dyDescent="0.25">
      <c r="A21" s="34">
        <f>EDATE(A$41,20)</f>
        <v>43556</v>
      </c>
      <c r="B21" s="36">
        <f t="shared" si="1"/>
        <v>2019</v>
      </c>
      <c r="C21" s="37">
        <f>EVEN((ROUNDDOWN((DATEDIF('Retirment Pay Summary'!$B$2,'Retirement Pay Calculations'!A21,"M")/12),0))-1)</f>
        <v>18</v>
      </c>
      <c r="D21" s="37" t="str">
        <f>IF(A21&gt;='Retirment Pay Summary'!$B$9, 'Retirment Pay Summary'!$B$8,(INDEX('2019 Pay Chart'!$A$2:$A$25,(MATCH('Retirment Pay Summary'!$B$8,'2019 Pay Chart'!$A$2:$A$25,)+1))))</f>
        <v>W-4</v>
      </c>
      <c r="E21" s="37" t="str">
        <f t="shared" si="2"/>
        <v>'2019 Pay Chart'!$A$1:$W$25</v>
      </c>
      <c r="F21" s="37" t="str">
        <f t="shared" si="3"/>
        <v>'2019 Pay Chart'!$A$1:$W$1</v>
      </c>
      <c r="G21" s="37">
        <f t="shared" ca="1" si="4"/>
        <v>12</v>
      </c>
      <c r="H21" s="1">
        <f t="shared" ca="1" si="5"/>
        <v>6858.6</v>
      </c>
    </row>
    <row r="22" spans="1:8" x14ac:dyDescent="0.25">
      <c r="A22" s="34">
        <f>EDATE(A$41,19)</f>
        <v>43525</v>
      </c>
      <c r="B22" s="36">
        <f t="shared" si="1"/>
        <v>2019</v>
      </c>
      <c r="C22" s="37">
        <f>EVEN((ROUNDDOWN((DATEDIF('Retirment Pay Summary'!$B$2,'Retirement Pay Calculations'!A22,"M")/12),0))-1)</f>
        <v>18</v>
      </c>
      <c r="D22" s="37" t="str">
        <f>IF(A22&gt;='Retirment Pay Summary'!$B$9, 'Retirment Pay Summary'!$B$8,(INDEX('2019 Pay Chart'!$A$2:$A$25,(MATCH('Retirment Pay Summary'!$B$8,'2019 Pay Chart'!$A$2:$A$25,)+1))))</f>
        <v>W-4</v>
      </c>
      <c r="E22" s="37" t="str">
        <f t="shared" si="2"/>
        <v>'2019 Pay Chart'!$A$1:$W$25</v>
      </c>
      <c r="F22" s="37" t="str">
        <f t="shared" si="3"/>
        <v>'2019 Pay Chart'!$A$1:$W$1</v>
      </c>
      <c r="G22" s="37">
        <f t="shared" ca="1" si="4"/>
        <v>12</v>
      </c>
      <c r="H22" s="1">
        <f t="shared" ca="1" si="5"/>
        <v>6858.6</v>
      </c>
    </row>
    <row r="23" spans="1:8" x14ac:dyDescent="0.25">
      <c r="A23" s="34">
        <f>EDATE(A$41,18)</f>
        <v>43497</v>
      </c>
      <c r="B23" s="36">
        <f t="shared" si="1"/>
        <v>2019</v>
      </c>
      <c r="C23" s="37">
        <f>EVEN((ROUNDDOWN((DATEDIF('Retirment Pay Summary'!$B$2,'Retirement Pay Calculations'!A23,"M")/12),0))-1)</f>
        <v>18</v>
      </c>
      <c r="D23" s="37" t="str">
        <f>IF(A23&gt;='Retirment Pay Summary'!$B$9, 'Retirment Pay Summary'!$B$8,(INDEX('2019 Pay Chart'!$A$2:$A$25,(MATCH('Retirment Pay Summary'!$B$8,'2019 Pay Chart'!$A$2:$A$25,)+1))))</f>
        <v>W-4</v>
      </c>
      <c r="E23" s="37" t="str">
        <f t="shared" si="2"/>
        <v>'2019 Pay Chart'!$A$1:$W$25</v>
      </c>
      <c r="F23" s="37" t="str">
        <f t="shared" si="3"/>
        <v>'2019 Pay Chart'!$A$1:$W$1</v>
      </c>
      <c r="G23" s="37">
        <f t="shared" ca="1" si="4"/>
        <v>12</v>
      </c>
      <c r="H23" s="1">
        <f t="shared" ca="1" si="5"/>
        <v>6858.6</v>
      </c>
    </row>
    <row r="24" spans="1:8" x14ac:dyDescent="0.25">
      <c r="A24" s="34">
        <f>EDATE(A$41,17)</f>
        <v>43466</v>
      </c>
      <c r="B24" s="36">
        <f t="shared" si="1"/>
        <v>2019</v>
      </c>
      <c r="C24" s="37">
        <f>EVEN((ROUNDDOWN((DATEDIF('Retirment Pay Summary'!$B$2,'Retirement Pay Calculations'!A24,"M")/12),0))-1)</f>
        <v>18</v>
      </c>
      <c r="D24" s="37" t="str">
        <f>IF(A24&gt;='Retirment Pay Summary'!$B$9, 'Retirment Pay Summary'!$B$8,(INDEX('2019 Pay Chart'!$A$2:$A$25,(MATCH('Retirment Pay Summary'!$B$8,'2019 Pay Chart'!$A$2:$A$25,)+1))))</f>
        <v>W-4</v>
      </c>
      <c r="E24" s="37" t="str">
        <f t="shared" si="2"/>
        <v>'2019 Pay Chart'!$A$1:$W$25</v>
      </c>
      <c r="F24" s="37" t="str">
        <f t="shared" si="3"/>
        <v>'2019 Pay Chart'!$A$1:$W$1</v>
      </c>
      <c r="G24" s="37">
        <f t="shared" ca="1" si="4"/>
        <v>12</v>
      </c>
      <c r="H24" s="1">
        <f t="shared" ca="1" si="5"/>
        <v>6858.6</v>
      </c>
    </row>
    <row r="25" spans="1:8" x14ac:dyDescent="0.25">
      <c r="A25" s="34">
        <f>EDATE(A$41,16)</f>
        <v>43435</v>
      </c>
      <c r="B25" s="36">
        <f t="shared" si="1"/>
        <v>2018</v>
      </c>
      <c r="C25" s="37">
        <f>EVEN((ROUNDDOWN((DATEDIF('Retirment Pay Summary'!$B$2,'Retirement Pay Calculations'!A25,"M")/12),0))-1)</f>
        <v>18</v>
      </c>
      <c r="D25" s="37" t="str">
        <f>IF(A25&gt;='Retirment Pay Summary'!$B$9, 'Retirment Pay Summary'!$B$8,(INDEX('2019 Pay Chart'!$A$2:$A$25,(MATCH('Retirment Pay Summary'!$B$8,'2019 Pay Chart'!$A$2:$A$25,)+1))))</f>
        <v>W-4</v>
      </c>
      <c r="E25" s="37" t="str">
        <f t="shared" si="2"/>
        <v>'2018 Pay Chart'!$A$1:$W$25</v>
      </c>
      <c r="F25" s="37" t="str">
        <f t="shared" si="3"/>
        <v>'2018 Pay Chart'!$A$1:$W$1</v>
      </c>
      <c r="G25" s="37">
        <f t="shared" ca="1" si="4"/>
        <v>12</v>
      </c>
      <c r="H25" s="1">
        <f t="shared" ca="1" si="5"/>
        <v>6684.9</v>
      </c>
    </row>
    <row r="26" spans="1:8" x14ac:dyDescent="0.25">
      <c r="A26" s="34">
        <f>EDATE(A$41,15)</f>
        <v>43405</v>
      </c>
      <c r="B26" s="36">
        <f t="shared" si="1"/>
        <v>2018</v>
      </c>
      <c r="C26" s="37">
        <f>EVEN((ROUNDDOWN((DATEDIF('Retirment Pay Summary'!$B$2,'Retirement Pay Calculations'!A26,"M")/12),0))-1)</f>
        <v>18</v>
      </c>
      <c r="D26" s="37" t="str">
        <f>IF(A26&gt;='Retirment Pay Summary'!$B$9, 'Retirment Pay Summary'!$B$8,(INDEX('2019 Pay Chart'!$A$2:$A$25,(MATCH('Retirment Pay Summary'!$B$8,'2019 Pay Chart'!$A$2:$A$25,)+1))))</f>
        <v>W-3</v>
      </c>
      <c r="E26" s="37" t="str">
        <f t="shared" si="2"/>
        <v>'2018 Pay Chart'!$A$1:$W$25</v>
      </c>
      <c r="F26" s="37" t="str">
        <f t="shared" si="3"/>
        <v>'2018 Pay Chart'!$A$1:$W$1</v>
      </c>
      <c r="G26" s="37">
        <f t="shared" ca="1" si="4"/>
        <v>12</v>
      </c>
      <c r="H26" s="1">
        <f t="shared" ca="1" si="5"/>
        <v>6102.3</v>
      </c>
    </row>
    <row r="27" spans="1:8" x14ac:dyDescent="0.25">
      <c r="A27" s="34">
        <f>EDATE(A$41,14)</f>
        <v>43374</v>
      </c>
      <c r="B27" s="36">
        <f t="shared" si="1"/>
        <v>2018</v>
      </c>
      <c r="C27" s="37">
        <f>EVEN((ROUNDDOWN((DATEDIF('Retirment Pay Summary'!$B$2,'Retirement Pay Calculations'!A27,"M")/12),0))-1)</f>
        <v>18</v>
      </c>
      <c r="D27" s="37" t="str">
        <f>IF(A27&gt;='Retirment Pay Summary'!$B$9, 'Retirment Pay Summary'!$B$8,(INDEX('2019 Pay Chart'!$A$2:$A$25,(MATCH('Retirment Pay Summary'!$B$8,'2019 Pay Chart'!$A$2:$A$25,)+1))))</f>
        <v>W-3</v>
      </c>
      <c r="E27" s="37" t="str">
        <f t="shared" si="2"/>
        <v>'2018 Pay Chart'!$A$1:$W$25</v>
      </c>
      <c r="F27" s="37" t="str">
        <f t="shared" si="3"/>
        <v>'2018 Pay Chart'!$A$1:$W$1</v>
      </c>
      <c r="G27" s="37">
        <f t="shared" ca="1" si="4"/>
        <v>12</v>
      </c>
      <c r="H27" s="1">
        <f t="shared" ca="1" si="5"/>
        <v>6102.3</v>
      </c>
    </row>
    <row r="28" spans="1:8" x14ac:dyDescent="0.25">
      <c r="A28" s="34">
        <f>EDATE(A$41,13)</f>
        <v>43344</v>
      </c>
      <c r="B28" s="36">
        <f t="shared" si="1"/>
        <v>2018</v>
      </c>
      <c r="C28" s="37">
        <f>EVEN((ROUNDDOWN((DATEDIF('Retirment Pay Summary'!$B$2,'Retirement Pay Calculations'!A28,"M")/12),0))-1)</f>
        <v>18</v>
      </c>
      <c r="D28" s="37" t="str">
        <f>IF(A28&gt;='Retirment Pay Summary'!$B$9, 'Retirment Pay Summary'!$B$8,(INDEX('2019 Pay Chart'!$A$2:$A$25,(MATCH('Retirment Pay Summary'!$B$8,'2019 Pay Chart'!$A$2:$A$25,)+1))))</f>
        <v>W-3</v>
      </c>
      <c r="E28" s="37" t="str">
        <f t="shared" si="2"/>
        <v>'2018 Pay Chart'!$A$1:$W$25</v>
      </c>
      <c r="F28" s="37" t="str">
        <f t="shared" si="3"/>
        <v>'2018 Pay Chart'!$A$1:$W$1</v>
      </c>
      <c r="G28" s="37">
        <f t="shared" ca="1" si="4"/>
        <v>12</v>
      </c>
      <c r="H28" s="1">
        <f t="shared" ca="1" si="5"/>
        <v>6102.3</v>
      </c>
    </row>
    <row r="29" spans="1:8" x14ac:dyDescent="0.25">
      <c r="A29" s="34">
        <f>EDATE(A$41,12)</f>
        <v>43313</v>
      </c>
      <c r="B29" s="36">
        <f t="shared" si="1"/>
        <v>2018</v>
      </c>
      <c r="C29" s="37">
        <f>EVEN((ROUNDDOWN((DATEDIF('Retirment Pay Summary'!$B$2,'Retirement Pay Calculations'!A29,"M")/12),0))-1)</f>
        <v>18</v>
      </c>
      <c r="D29" s="37" t="str">
        <f>IF(A29&gt;='Retirment Pay Summary'!$B$9, 'Retirment Pay Summary'!$B$8,(INDEX('2019 Pay Chart'!$A$2:$A$25,(MATCH('Retirment Pay Summary'!$B$8,'2019 Pay Chart'!$A$2:$A$25,)+1))))</f>
        <v>W-3</v>
      </c>
      <c r="E29" s="37" t="str">
        <f t="shared" si="2"/>
        <v>'2018 Pay Chart'!$A$1:$W$25</v>
      </c>
      <c r="F29" s="37" t="str">
        <f t="shared" si="3"/>
        <v>'2018 Pay Chart'!$A$1:$W$1</v>
      </c>
      <c r="G29" s="37">
        <f t="shared" ca="1" si="4"/>
        <v>12</v>
      </c>
      <c r="H29" s="1">
        <f t="shared" ca="1" si="5"/>
        <v>6102.3</v>
      </c>
    </row>
    <row r="30" spans="1:8" x14ac:dyDescent="0.25">
      <c r="A30" s="34">
        <f>EDATE(A$41,11)</f>
        <v>43282</v>
      </c>
      <c r="B30" s="36">
        <f t="shared" si="1"/>
        <v>2018</v>
      </c>
      <c r="C30" s="37">
        <f>EVEN((ROUNDDOWN((DATEDIF('Retirment Pay Summary'!$B$2,'Retirement Pay Calculations'!A30,"M")/12),0))-1)</f>
        <v>18</v>
      </c>
      <c r="D30" s="37" t="str">
        <f>IF(A30&gt;='Retirment Pay Summary'!$B$9, 'Retirment Pay Summary'!$B$8,(INDEX('2019 Pay Chart'!$A$2:$A$25,(MATCH('Retirment Pay Summary'!$B$8,'2019 Pay Chart'!$A$2:$A$25,)+1))))</f>
        <v>W-3</v>
      </c>
      <c r="E30" s="37" t="str">
        <f t="shared" si="2"/>
        <v>'2018 Pay Chart'!$A$1:$W$25</v>
      </c>
      <c r="F30" s="37" t="str">
        <f t="shared" si="3"/>
        <v>'2018 Pay Chart'!$A$1:$W$1</v>
      </c>
      <c r="G30" s="37">
        <f t="shared" ca="1" si="4"/>
        <v>12</v>
      </c>
      <c r="H30" s="1">
        <f t="shared" ca="1" si="5"/>
        <v>6102.3</v>
      </c>
    </row>
    <row r="31" spans="1:8" x14ac:dyDescent="0.25">
      <c r="A31" s="34">
        <f>EDATE(A$41,10)</f>
        <v>43252</v>
      </c>
      <c r="B31" s="36">
        <f t="shared" si="1"/>
        <v>2018</v>
      </c>
      <c r="C31" s="37">
        <f>EVEN((ROUNDDOWN((DATEDIF('Retirment Pay Summary'!$B$2,'Retirement Pay Calculations'!A31,"M")/12),0))-1)</f>
        <v>18</v>
      </c>
      <c r="D31" s="37" t="str">
        <f>IF(A31&gt;='Retirment Pay Summary'!$B$9, 'Retirment Pay Summary'!$B$8,(INDEX('2019 Pay Chart'!$A$2:$A$25,(MATCH('Retirment Pay Summary'!$B$8,'2019 Pay Chart'!$A$2:$A$25,)+1))))</f>
        <v>W-3</v>
      </c>
      <c r="E31" s="37" t="str">
        <f t="shared" si="2"/>
        <v>'2018 Pay Chart'!$A$1:$W$25</v>
      </c>
      <c r="F31" s="37" t="str">
        <f t="shared" si="3"/>
        <v>'2018 Pay Chart'!$A$1:$W$1</v>
      </c>
      <c r="G31" s="37">
        <f t="shared" ca="1" si="4"/>
        <v>12</v>
      </c>
      <c r="H31" s="1">
        <f t="shared" ca="1" si="5"/>
        <v>6102.3</v>
      </c>
    </row>
    <row r="32" spans="1:8" x14ac:dyDescent="0.25">
      <c r="A32" s="34">
        <f>EDATE(A$41,9)</f>
        <v>43221</v>
      </c>
      <c r="B32" s="36">
        <f t="shared" si="1"/>
        <v>2018</v>
      </c>
      <c r="C32" s="37">
        <f>EVEN((ROUNDDOWN((DATEDIF('Retirment Pay Summary'!$B$2,'Retirement Pay Calculations'!A32,"M")/12),0))-1)</f>
        <v>18</v>
      </c>
      <c r="D32" s="37" t="str">
        <f>IF(A32&gt;='Retirment Pay Summary'!$B$9, 'Retirment Pay Summary'!$B$8,(INDEX('2019 Pay Chart'!$A$2:$A$25,(MATCH('Retirment Pay Summary'!$B$8,'2019 Pay Chart'!$A$2:$A$25,)+1))))</f>
        <v>W-3</v>
      </c>
      <c r="E32" s="37" t="str">
        <f t="shared" si="2"/>
        <v>'2018 Pay Chart'!$A$1:$W$25</v>
      </c>
      <c r="F32" s="37" t="str">
        <f t="shared" si="3"/>
        <v>'2018 Pay Chart'!$A$1:$W$1</v>
      </c>
      <c r="G32" s="37">
        <f t="shared" ca="1" si="4"/>
        <v>12</v>
      </c>
      <c r="H32" s="1">
        <f t="shared" ca="1" si="5"/>
        <v>6102.3</v>
      </c>
    </row>
    <row r="33" spans="1:8" x14ac:dyDescent="0.25">
      <c r="A33" s="34">
        <f>EDATE(A$41,8)</f>
        <v>43191</v>
      </c>
      <c r="B33" s="36">
        <f t="shared" si="1"/>
        <v>2018</v>
      </c>
      <c r="C33" s="37">
        <f>EVEN((ROUNDDOWN((DATEDIF('Retirment Pay Summary'!$B$2,'Retirement Pay Calculations'!A33,"M")/12),0))-1)</f>
        <v>18</v>
      </c>
      <c r="D33" s="37" t="str">
        <f>IF(A33&gt;='Retirment Pay Summary'!$B$9, 'Retirment Pay Summary'!$B$8,(INDEX('2019 Pay Chart'!$A$2:$A$25,(MATCH('Retirment Pay Summary'!$B$8,'2019 Pay Chart'!$A$2:$A$25,)+1))))</f>
        <v>W-3</v>
      </c>
      <c r="E33" s="37" t="str">
        <f t="shared" si="2"/>
        <v>'2018 Pay Chart'!$A$1:$W$25</v>
      </c>
      <c r="F33" s="37" t="str">
        <f t="shared" si="3"/>
        <v>'2018 Pay Chart'!$A$1:$W$1</v>
      </c>
      <c r="G33" s="37">
        <f t="shared" ca="1" si="4"/>
        <v>12</v>
      </c>
      <c r="H33" s="1">
        <f t="shared" ca="1" si="5"/>
        <v>6102.3</v>
      </c>
    </row>
    <row r="34" spans="1:8" x14ac:dyDescent="0.25">
      <c r="A34" s="34">
        <f>EDATE(A$41,7)</f>
        <v>43160</v>
      </c>
      <c r="B34" s="36">
        <f t="shared" si="1"/>
        <v>2018</v>
      </c>
      <c r="C34" s="37">
        <f>EVEN((ROUNDDOWN((DATEDIF('Retirment Pay Summary'!$B$2,'Retirement Pay Calculations'!A34,"M")/12),0))-1)</f>
        <v>18</v>
      </c>
      <c r="D34" s="37" t="str">
        <f>IF(A34&gt;='Retirment Pay Summary'!$B$9, 'Retirment Pay Summary'!$B$8,(INDEX('2019 Pay Chart'!$A$2:$A$25,(MATCH('Retirment Pay Summary'!$B$8,'2019 Pay Chart'!$A$2:$A$25,)+1))))</f>
        <v>W-3</v>
      </c>
      <c r="E34" s="37" t="str">
        <f t="shared" si="2"/>
        <v>'2018 Pay Chart'!$A$1:$W$25</v>
      </c>
      <c r="F34" s="37" t="str">
        <f t="shared" si="3"/>
        <v>'2018 Pay Chart'!$A$1:$W$1</v>
      </c>
      <c r="G34" s="37">
        <f t="shared" ca="1" si="4"/>
        <v>12</v>
      </c>
      <c r="H34" s="1">
        <f t="shared" ca="1" si="5"/>
        <v>6102.3</v>
      </c>
    </row>
    <row r="35" spans="1:8" x14ac:dyDescent="0.25">
      <c r="A35" s="34">
        <f>EDATE(A$41,6)</f>
        <v>43132</v>
      </c>
      <c r="B35" s="36">
        <f t="shared" si="1"/>
        <v>2018</v>
      </c>
      <c r="C35" s="37">
        <f>EVEN((ROUNDDOWN((DATEDIF('Retirment Pay Summary'!$B$2,'Retirement Pay Calculations'!A35,"M")/12),0))-1)</f>
        <v>18</v>
      </c>
      <c r="D35" s="37" t="str">
        <f>IF(A35&gt;='Retirment Pay Summary'!$B$9, 'Retirment Pay Summary'!$B$8,(INDEX('2019 Pay Chart'!$A$2:$A$25,(MATCH('Retirment Pay Summary'!$B$8,'2019 Pay Chart'!$A$2:$A$25,)+1))))</f>
        <v>W-3</v>
      </c>
      <c r="E35" s="37" t="str">
        <f t="shared" si="2"/>
        <v>'2018 Pay Chart'!$A$1:$W$25</v>
      </c>
      <c r="F35" s="37" t="str">
        <f t="shared" si="3"/>
        <v>'2018 Pay Chart'!$A$1:$W$1</v>
      </c>
      <c r="G35" s="37">
        <f t="shared" ca="1" si="4"/>
        <v>12</v>
      </c>
      <c r="H35" s="1">
        <f t="shared" ca="1" si="5"/>
        <v>6102.3</v>
      </c>
    </row>
    <row r="36" spans="1:8" x14ac:dyDescent="0.25">
      <c r="A36" s="34">
        <f>EDATE(A$41,5)</f>
        <v>43101</v>
      </c>
      <c r="B36" s="36">
        <f t="shared" si="1"/>
        <v>2018</v>
      </c>
      <c r="C36" s="37">
        <f>EVEN((ROUNDDOWN((DATEDIF('Retirment Pay Summary'!$B$2,'Retirement Pay Calculations'!A36,"M")/12),0))-1)</f>
        <v>18</v>
      </c>
      <c r="D36" s="37" t="str">
        <f>IF(A36&gt;='Retirment Pay Summary'!$B$9, 'Retirment Pay Summary'!$B$8,(INDEX('2019 Pay Chart'!$A$2:$A$25,(MATCH('Retirment Pay Summary'!$B$8,'2019 Pay Chart'!$A$2:$A$25,)+1))))</f>
        <v>W-3</v>
      </c>
      <c r="E36" s="37" t="str">
        <f t="shared" si="2"/>
        <v>'2018 Pay Chart'!$A$1:$W$25</v>
      </c>
      <c r="F36" s="37" t="str">
        <f t="shared" si="3"/>
        <v>'2018 Pay Chart'!$A$1:$W$1</v>
      </c>
      <c r="G36" s="37">
        <f t="shared" ca="1" si="4"/>
        <v>12</v>
      </c>
      <c r="H36" s="1">
        <f t="shared" ca="1" si="5"/>
        <v>6102.3</v>
      </c>
    </row>
    <row r="37" spans="1:8" x14ac:dyDescent="0.25">
      <c r="A37" s="34">
        <f>EDATE(A$41,4)</f>
        <v>43070</v>
      </c>
      <c r="B37" s="36">
        <f t="shared" si="1"/>
        <v>2017</v>
      </c>
      <c r="C37" s="37">
        <f>EVEN((ROUNDDOWN((DATEDIF('Retirment Pay Summary'!$B$2,'Retirement Pay Calculations'!A37,"M")/12),0))-1)</f>
        <v>18</v>
      </c>
      <c r="D37" s="37" t="str">
        <f>IF(A37&gt;='Retirment Pay Summary'!$B$9, 'Retirment Pay Summary'!$B$8,(INDEX('2019 Pay Chart'!$A$2:$A$25,(MATCH('Retirment Pay Summary'!$B$8,'2019 Pay Chart'!$A$2:$A$25,)+1))))</f>
        <v>W-3</v>
      </c>
      <c r="E37" s="37" t="str">
        <f t="shared" si="2"/>
        <v>'2017 Pay Chart'!$A$1:$W$25</v>
      </c>
      <c r="F37" s="37" t="str">
        <f t="shared" si="3"/>
        <v>'2017 Pay Chart'!$A$1:$W$1</v>
      </c>
      <c r="G37" s="37">
        <f t="shared" ca="1" si="4"/>
        <v>12</v>
      </c>
      <c r="H37" s="1">
        <f t="shared" ca="1" si="5"/>
        <v>5959.2</v>
      </c>
    </row>
    <row r="38" spans="1:8" x14ac:dyDescent="0.25">
      <c r="A38" s="34">
        <f>EDATE(A$41,3)</f>
        <v>43040</v>
      </c>
      <c r="B38" s="36">
        <f t="shared" si="1"/>
        <v>2017</v>
      </c>
      <c r="C38" s="37">
        <f>EVEN((ROUNDDOWN((DATEDIF('Retirment Pay Summary'!$B$2,'Retirement Pay Calculations'!A38,"M")/12),0))-1)</f>
        <v>18</v>
      </c>
      <c r="D38" s="37" t="str">
        <f>IF(A38&gt;='Retirment Pay Summary'!$B$9, 'Retirment Pay Summary'!$B$8,(INDEX('2019 Pay Chart'!$A$2:$A$25,(MATCH('Retirment Pay Summary'!$B$8,'2019 Pay Chart'!$A$2:$A$25,)+1))))</f>
        <v>W-3</v>
      </c>
      <c r="E38" s="37" t="str">
        <f t="shared" si="2"/>
        <v>'2017 Pay Chart'!$A$1:$W$25</v>
      </c>
      <c r="F38" s="37" t="str">
        <f t="shared" si="3"/>
        <v>'2017 Pay Chart'!$A$1:$W$1</v>
      </c>
      <c r="G38" s="37">
        <f t="shared" ca="1" si="4"/>
        <v>12</v>
      </c>
      <c r="H38" s="1">
        <f t="shared" ca="1" si="5"/>
        <v>5959.2</v>
      </c>
    </row>
    <row r="39" spans="1:8" x14ac:dyDescent="0.25">
      <c r="A39" s="34">
        <f>EDATE(A$41,2)</f>
        <v>43009</v>
      </c>
      <c r="B39" s="36">
        <f t="shared" si="1"/>
        <v>2017</v>
      </c>
      <c r="C39" s="37">
        <f>EVEN((ROUNDDOWN((DATEDIF('Retirment Pay Summary'!$B$2,'Retirement Pay Calculations'!A39,"M")/12),0))-1)</f>
        <v>18</v>
      </c>
      <c r="D39" s="37" t="str">
        <f>IF(A39&gt;='Retirment Pay Summary'!$B$9, 'Retirment Pay Summary'!$B$8,(INDEX('2019 Pay Chart'!$A$2:$A$25,(MATCH('Retirment Pay Summary'!$B$8,'2019 Pay Chart'!$A$2:$A$25,)+1))))</f>
        <v>W-3</v>
      </c>
      <c r="E39" s="37" t="str">
        <f t="shared" si="2"/>
        <v>'2017 Pay Chart'!$A$1:$W$25</v>
      </c>
      <c r="F39" s="37" t="str">
        <f t="shared" si="3"/>
        <v>'2017 Pay Chart'!$A$1:$W$1</v>
      </c>
      <c r="G39" s="37">
        <f t="shared" ca="1" si="4"/>
        <v>12</v>
      </c>
      <c r="H39" s="1">
        <f t="shared" ca="1" si="5"/>
        <v>5959.2</v>
      </c>
    </row>
    <row r="40" spans="1:8" x14ac:dyDescent="0.25">
      <c r="A40" s="34">
        <f>EDATE(A$41,1)</f>
        <v>42979</v>
      </c>
      <c r="B40" s="36">
        <f t="shared" si="1"/>
        <v>2017</v>
      </c>
      <c r="C40" s="37">
        <f>EVEN((ROUNDDOWN((DATEDIF('Retirment Pay Summary'!$B$2,'Retirement Pay Calculations'!A40,"M")/12),0))-1)</f>
        <v>18</v>
      </c>
      <c r="D40" s="37" t="str">
        <f>IF(A40&gt;='Retirment Pay Summary'!$B$9, 'Retirment Pay Summary'!$B$8,(INDEX('2019 Pay Chart'!$A$2:$A$25,(MATCH('Retirment Pay Summary'!$B$8,'2019 Pay Chart'!$A$2:$A$25,)+1))))</f>
        <v>W-3</v>
      </c>
      <c r="E40" s="37" t="str">
        <f t="shared" si="2"/>
        <v>'2017 Pay Chart'!$A$1:$W$25</v>
      </c>
      <c r="F40" s="37" t="str">
        <f t="shared" si="3"/>
        <v>'2017 Pay Chart'!$A$1:$W$1</v>
      </c>
      <c r="G40" s="37">
        <f t="shared" ca="1" si="4"/>
        <v>12</v>
      </c>
      <c r="H40" s="1">
        <f t="shared" ca="1" si="5"/>
        <v>5959.2</v>
      </c>
    </row>
    <row r="41" spans="1:8" x14ac:dyDescent="0.25">
      <c r="A41" s="34">
        <f>EDATE('Retirment Pay Summary'!B3,-37)</f>
        <v>42948</v>
      </c>
      <c r="B41" s="36">
        <f t="shared" si="1"/>
        <v>2017</v>
      </c>
      <c r="C41" s="37">
        <f>EVEN((ROUNDDOWN((DATEDIF('Retirment Pay Summary'!$B$2,'Retirement Pay Calculations'!A41,"M")/12),0))-1)</f>
        <v>18</v>
      </c>
      <c r="D41" s="37" t="str">
        <f>IF(A41&gt;='Retirment Pay Summary'!$B$9, 'Retirment Pay Summary'!$B$8,(INDEX('2019 Pay Chart'!$A$2:$A$25,(MATCH('Retirment Pay Summary'!$B$8,'2019 Pay Chart'!$A$2:$A$25,)+1))))</f>
        <v>W-3</v>
      </c>
      <c r="E41" s="37" t="str">
        <f t="shared" si="2"/>
        <v>'2017 Pay Chart'!$A$1:$W$25</v>
      </c>
      <c r="F41" s="37" t="str">
        <f t="shared" si="3"/>
        <v>'2017 Pay Chart'!$A$1:$W$1</v>
      </c>
      <c r="G41" s="37">
        <f t="shared" ca="1" si="4"/>
        <v>12</v>
      </c>
      <c r="H41" s="1">
        <f t="shared" ca="1" si="5"/>
        <v>5959.2</v>
      </c>
    </row>
    <row r="42" spans="1:8" x14ac:dyDescent="0.25">
      <c r="A42" s="34"/>
      <c r="B42" s="34"/>
      <c r="C42" s="34"/>
      <c r="D42" s="34"/>
      <c r="E42" s="34"/>
      <c r="F42" s="34"/>
      <c r="G42" s="34"/>
      <c r="H42" s="1"/>
    </row>
    <row r="43" spans="1:8" x14ac:dyDescent="0.25">
      <c r="A43" s="34"/>
      <c r="B43" s="34"/>
      <c r="C43" s="34"/>
      <c r="D43" s="34"/>
      <c r="E43" s="34"/>
      <c r="F43" s="34"/>
      <c r="G43" s="34"/>
      <c r="H43" s="1"/>
    </row>
  </sheetData>
  <sortState xmlns:xlrd2="http://schemas.microsoft.com/office/spreadsheetml/2017/richdata2" ref="A5:R41">
    <sortCondition descending="1" ref="A5:A41"/>
  </sortState>
  <mergeCells count="1">
    <mergeCell ref="A1:P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D786C-F615-4B90-817B-3F4BEBDC75C5}">
  <sheetPr>
    <tabColor rgb="FF00B050"/>
  </sheetPr>
  <dimension ref="A1:F46"/>
  <sheetViews>
    <sheetView topLeftCell="A7" workbookViewId="0">
      <selection activeCell="F39" sqref="F39"/>
    </sheetView>
  </sheetViews>
  <sheetFormatPr defaultRowHeight="15" x14ac:dyDescent="0.25"/>
  <cols>
    <col min="1" max="1" width="40" style="42" bestFit="1" customWidth="1"/>
    <col min="2" max="2" width="14.85546875" style="42" customWidth="1"/>
    <col min="3" max="3" width="21.42578125" style="42" bestFit="1" customWidth="1"/>
    <col min="4" max="4" width="35.5703125" style="42" bestFit="1" customWidth="1"/>
    <col min="5" max="5" width="20" style="42" bestFit="1" customWidth="1"/>
    <col min="6" max="6" width="12.5703125" style="42" bestFit="1" customWidth="1"/>
    <col min="7" max="7" width="10.5703125" style="42" bestFit="1" customWidth="1"/>
    <col min="8" max="16384" width="9.140625" style="42"/>
  </cols>
  <sheetData>
    <row r="1" spans="1:6" x14ac:dyDescent="0.25">
      <c r="A1" s="97" t="s">
        <v>84</v>
      </c>
      <c r="B1" s="97"/>
    </row>
    <row r="2" spans="1:6" hidden="1" x14ac:dyDescent="0.25">
      <c r="A2" s="98" t="s">
        <v>150</v>
      </c>
      <c r="B2" s="99">
        <f>D38/D19</f>
        <v>0.10548785148261759</v>
      </c>
    </row>
    <row r="3" spans="1:6" x14ac:dyDescent="0.25">
      <c r="A3" s="100" t="s">
        <v>68</v>
      </c>
      <c r="B3" s="101">
        <f>Information!E8</f>
        <v>0</v>
      </c>
    </row>
    <row r="4" spans="1:6" x14ac:dyDescent="0.25">
      <c r="A4" s="100" t="s">
        <v>69</v>
      </c>
      <c r="B4" s="101">
        <f>Information!E9</f>
        <v>7.0999999999999994E-2</v>
      </c>
    </row>
    <row r="5" spans="1:6" x14ac:dyDescent="0.25">
      <c r="A5" s="102" t="s">
        <v>78</v>
      </c>
      <c r="B5" s="101">
        <f>Information!E32</f>
        <v>0.06</v>
      </c>
    </row>
    <row r="6" spans="1:6" x14ac:dyDescent="0.25">
      <c r="A6" s="102" t="s">
        <v>80</v>
      </c>
      <c r="B6" s="103">
        <f>Information!E33</f>
        <v>0</v>
      </c>
    </row>
    <row r="7" spans="1:6" x14ac:dyDescent="0.25">
      <c r="A7" s="102" t="s">
        <v>105</v>
      </c>
      <c r="B7" s="103">
        <f>Information!E34</f>
        <v>0</v>
      </c>
    </row>
    <row r="8" spans="1:6" x14ac:dyDescent="0.25">
      <c r="A8" s="102" t="s">
        <v>106</v>
      </c>
      <c r="B8" s="103">
        <f>Information!E35</f>
        <v>0</v>
      </c>
    </row>
    <row r="9" spans="1:6" x14ac:dyDescent="0.25">
      <c r="A9" s="102" t="s">
        <v>94</v>
      </c>
      <c r="B9" s="103">
        <f>Information!E7</f>
        <v>20000</v>
      </c>
    </row>
    <row r="10" spans="1:6" x14ac:dyDescent="0.25">
      <c r="A10" s="102" t="s">
        <v>99</v>
      </c>
      <c r="B10" s="76" t="str">
        <f>Information!E6</f>
        <v>Joint</v>
      </c>
    </row>
    <row r="11" spans="1:6" x14ac:dyDescent="0.25">
      <c r="A11" s="104"/>
    </row>
    <row r="14" spans="1:6" x14ac:dyDescent="0.25">
      <c r="A14" s="45"/>
      <c r="B14" s="45" t="s">
        <v>85</v>
      </c>
      <c r="C14" s="45" t="s">
        <v>149</v>
      </c>
      <c r="D14" s="45" t="s">
        <v>161</v>
      </c>
      <c r="E14" s="45" t="s">
        <v>79</v>
      </c>
      <c r="F14" s="45" t="s">
        <v>81</v>
      </c>
    </row>
    <row r="15" spans="1:6" x14ac:dyDescent="0.25">
      <c r="A15" s="83" t="s">
        <v>92</v>
      </c>
      <c r="B15" s="83"/>
      <c r="C15" s="83"/>
      <c r="D15" s="83"/>
      <c r="E15" s="83"/>
      <c r="F15" s="83"/>
    </row>
    <row r="16" spans="1:6" x14ac:dyDescent="0.25">
      <c r="A16" s="62" t="s">
        <v>1</v>
      </c>
      <c r="B16" s="62">
        <f>Information!B19</f>
        <v>7309</v>
      </c>
      <c r="C16" s="62">
        <f>B16*12</f>
        <v>87708</v>
      </c>
      <c r="D16" s="62">
        <f>C26</f>
        <v>125184</v>
      </c>
      <c r="E16" s="62">
        <f>CEILING(E25,1000)</f>
        <v>158000</v>
      </c>
      <c r="F16" s="27">
        <v>151000</v>
      </c>
    </row>
    <row r="17" spans="1:6" x14ac:dyDescent="0.25">
      <c r="A17" s="62" t="s">
        <v>133</v>
      </c>
      <c r="B17" s="62">
        <f>SUM(Information!B20:B21)</f>
        <v>200</v>
      </c>
      <c r="C17" s="62">
        <f t="shared" ref="C17:C18" si="0">B17*12</f>
        <v>2400</v>
      </c>
      <c r="D17" s="62">
        <v>0</v>
      </c>
      <c r="E17" s="62">
        <v>0</v>
      </c>
      <c r="F17" s="27">
        <v>0</v>
      </c>
    </row>
    <row r="18" spans="1:6" ht="15.75" thickBot="1" x14ac:dyDescent="0.3">
      <c r="A18" s="62" t="s">
        <v>134</v>
      </c>
      <c r="B18" s="64">
        <f>Information!B22</f>
        <v>0</v>
      </c>
      <c r="C18" s="64">
        <f t="shared" si="0"/>
        <v>0</v>
      </c>
      <c r="D18" s="64">
        <v>0</v>
      </c>
      <c r="E18" s="64">
        <v>0</v>
      </c>
      <c r="F18" s="43">
        <v>0</v>
      </c>
    </row>
    <row r="19" spans="1:6" x14ac:dyDescent="0.25">
      <c r="A19" s="62" t="s">
        <v>136</v>
      </c>
      <c r="B19" s="65">
        <f>SUM(B16:B18)</f>
        <v>7509</v>
      </c>
      <c r="C19" s="65">
        <f>SUM(C16:C18)</f>
        <v>90108</v>
      </c>
      <c r="D19" s="65">
        <f>SUM(D16:D18)</f>
        <v>125184</v>
      </c>
      <c r="E19" s="65">
        <f>SUM(E16:E18)</f>
        <v>158000</v>
      </c>
      <c r="F19" s="65">
        <f>SUM(F16:F18)</f>
        <v>151000</v>
      </c>
    </row>
    <row r="20" spans="1:6" x14ac:dyDescent="0.25">
      <c r="A20" s="105" t="s">
        <v>135</v>
      </c>
      <c r="B20" s="105"/>
      <c r="C20" s="105"/>
      <c r="D20" s="105"/>
      <c r="E20" s="105"/>
      <c r="F20" s="105"/>
    </row>
    <row r="21" spans="1:6" x14ac:dyDescent="0.25">
      <c r="A21" s="62" t="s">
        <v>66</v>
      </c>
      <c r="B21" s="62">
        <f>Information!B24</f>
        <v>2600</v>
      </c>
      <c r="C21" s="62">
        <f t="shared" ref="C21:C23" si="1">B21*12</f>
        <v>31200</v>
      </c>
      <c r="D21" s="67">
        <v>0</v>
      </c>
      <c r="E21" s="67">
        <v>0</v>
      </c>
      <c r="F21" s="67">
        <v>0</v>
      </c>
    </row>
    <row r="22" spans="1:6" x14ac:dyDescent="0.25">
      <c r="A22" s="62" t="s">
        <v>67</v>
      </c>
      <c r="B22" s="62">
        <f>Information!B25</f>
        <v>323</v>
      </c>
      <c r="C22" s="62">
        <f t="shared" si="1"/>
        <v>3876</v>
      </c>
      <c r="D22" s="67">
        <v>0</v>
      </c>
      <c r="E22" s="67">
        <v>0</v>
      </c>
      <c r="F22" s="67">
        <v>0</v>
      </c>
    </row>
    <row r="23" spans="1:6" ht="15.75" thickBot="1" x14ac:dyDescent="0.3">
      <c r="A23" s="62" t="s">
        <v>134</v>
      </c>
      <c r="B23" s="64">
        <f>Information!B26</f>
        <v>0</v>
      </c>
      <c r="C23" s="64">
        <f t="shared" si="1"/>
        <v>0</v>
      </c>
      <c r="D23" s="64">
        <v>0</v>
      </c>
      <c r="E23" s="64">
        <v>0</v>
      </c>
      <c r="F23" s="43">
        <v>0</v>
      </c>
    </row>
    <row r="24" spans="1:6" ht="15.75" thickBot="1" x14ac:dyDescent="0.3">
      <c r="A24" s="62" t="s">
        <v>137</v>
      </c>
      <c r="B24" s="68">
        <f>SUM(B21:B23)</f>
        <v>2923</v>
      </c>
      <c r="C24" s="68">
        <f>SUM(C21:C23)</f>
        <v>35076</v>
      </c>
      <c r="D24" s="68">
        <f>SUM(D21:D23)</f>
        <v>0</v>
      </c>
      <c r="E24" s="68">
        <f>SUM(E21:E23)</f>
        <v>0</v>
      </c>
      <c r="F24" s="68">
        <f>SUM(F21:F23)</f>
        <v>0</v>
      </c>
    </row>
    <row r="25" spans="1:6" ht="1.5" hidden="1" thickTop="1" x14ac:dyDescent="0.25">
      <c r="A25" s="62" t="s">
        <v>152</v>
      </c>
      <c r="B25" s="106"/>
      <c r="C25" s="106"/>
      <c r="D25" s="106"/>
      <c r="E25" s="106">
        <f>(E35/(1-B5))+SUM(E28:E29,E32)</f>
        <v>157030.76813700859</v>
      </c>
      <c r="F25" s="106"/>
    </row>
    <row r="26" spans="1:6" ht="15.75" x14ac:dyDescent="0.25">
      <c r="A26" s="62" t="s">
        <v>74</v>
      </c>
      <c r="B26" s="74">
        <f>B24+B19</f>
        <v>10432</v>
      </c>
      <c r="C26" s="74">
        <f>C24+C19</f>
        <v>125184</v>
      </c>
      <c r="D26" s="74">
        <f>D24+D19</f>
        <v>125184</v>
      </c>
      <c r="E26" s="74">
        <f>E24+E19</f>
        <v>158000</v>
      </c>
      <c r="F26" s="74">
        <f>F24+F19</f>
        <v>151000</v>
      </c>
    </row>
    <row r="27" spans="1:6" x14ac:dyDescent="0.25">
      <c r="A27" s="105" t="s">
        <v>87</v>
      </c>
      <c r="B27" s="105"/>
      <c r="C27" s="105"/>
      <c r="D27" s="105"/>
      <c r="E27" s="105"/>
      <c r="F27" s="105"/>
    </row>
    <row r="28" spans="1:6" x14ac:dyDescent="0.25">
      <c r="A28" s="62" t="s">
        <v>89</v>
      </c>
      <c r="B28" s="67">
        <v>0</v>
      </c>
      <c r="C28" s="67">
        <v>0</v>
      </c>
      <c r="D28" s="62">
        <f>$B$8</f>
        <v>0</v>
      </c>
      <c r="E28" s="62">
        <f>$B$8</f>
        <v>0</v>
      </c>
      <c r="F28" s="27"/>
    </row>
    <row r="29" spans="1:6" x14ac:dyDescent="0.25">
      <c r="A29" s="62" t="s">
        <v>88</v>
      </c>
      <c r="B29" s="67">
        <v>0</v>
      </c>
      <c r="C29" s="67">
        <v>0</v>
      </c>
      <c r="D29" s="62">
        <f>$B$7</f>
        <v>0</v>
      </c>
      <c r="E29" s="62">
        <f>$B$7</f>
        <v>0</v>
      </c>
      <c r="F29" s="27">
        <v>0</v>
      </c>
    </row>
    <row r="30" spans="1:6" x14ac:dyDescent="0.25">
      <c r="A30" s="62" t="s">
        <v>155</v>
      </c>
      <c r="B30" s="67"/>
      <c r="C30" s="67"/>
      <c r="D30" s="67"/>
      <c r="E30" s="67"/>
      <c r="F30" s="31">
        <v>0.05</v>
      </c>
    </row>
    <row r="31" spans="1:6" x14ac:dyDescent="0.25">
      <c r="A31" s="62" t="s">
        <v>77</v>
      </c>
      <c r="B31" s="67">
        <v>0</v>
      </c>
      <c r="C31" s="67">
        <v>0</v>
      </c>
      <c r="D31" s="62">
        <f>D16*$B$5</f>
        <v>7511.04</v>
      </c>
      <c r="E31" s="62">
        <f>E16*$B$5</f>
        <v>9480</v>
      </c>
      <c r="F31" s="62">
        <f>F16*F30</f>
        <v>7550</v>
      </c>
    </row>
    <row r="32" spans="1:6" ht="15.75" thickBot="1" x14ac:dyDescent="0.3">
      <c r="A32" s="62" t="s">
        <v>76</v>
      </c>
      <c r="B32" s="63">
        <v>0</v>
      </c>
      <c r="C32" s="63">
        <v>0</v>
      </c>
      <c r="D32" s="64">
        <f>$B$6</f>
        <v>0</v>
      </c>
      <c r="E32" s="64">
        <f>$B$6</f>
        <v>0</v>
      </c>
      <c r="F32" s="43">
        <v>0</v>
      </c>
    </row>
    <row r="33" spans="1:6" x14ac:dyDescent="0.25">
      <c r="A33" s="62" t="s">
        <v>90</v>
      </c>
      <c r="B33" s="107">
        <f>SUM(B28:B32)</f>
        <v>0</v>
      </c>
      <c r="C33" s="107">
        <f>SUM(C28:C32)</f>
        <v>0</v>
      </c>
      <c r="D33" s="70">
        <f>SUM(D28:D32)</f>
        <v>7511.04</v>
      </c>
      <c r="E33" s="70">
        <f>SUM(E28:E32)</f>
        <v>9480</v>
      </c>
      <c r="F33" s="70">
        <f>SUM(F28:F29,F31:F32)</f>
        <v>7550</v>
      </c>
    </row>
    <row r="34" spans="1:6" ht="15.75" thickBot="1" x14ac:dyDescent="0.3">
      <c r="A34" s="62" t="s">
        <v>139</v>
      </c>
      <c r="B34" s="108">
        <v>0</v>
      </c>
      <c r="C34" s="71">
        <f>$B$9</f>
        <v>20000</v>
      </c>
      <c r="D34" s="71">
        <f t="shared" ref="D34:F34" si="2">$B$9</f>
        <v>20000</v>
      </c>
      <c r="E34" s="71">
        <f t="shared" si="2"/>
        <v>20000</v>
      </c>
      <c r="F34" s="71">
        <f t="shared" si="2"/>
        <v>20000</v>
      </c>
    </row>
    <row r="35" spans="1:6" ht="1.5" hidden="1" thickTop="1" x14ac:dyDescent="0.25">
      <c r="A35" s="62" t="s">
        <v>151</v>
      </c>
      <c r="B35" s="109"/>
      <c r="C35" s="109"/>
      <c r="D35" s="109"/>
      <c r="E35" s="109">
        <f>C43/(1-(B2+B4+0.0145+0.062))</f>
        <v>147608.92204878808</v>
      </c>
      <c r="F35" s="109"/>
    </row>
    <row r="36" spans="1:6" ht="15.75" x14ac:dyDescent="0.25">
      <c r="A36" s="62" t="s">
        <v>138</v>
      </c>
      <c r="B36" s="74">
        <f>B19-B33-B34</f>
        <v>7509</v>
      </c>
      <c r="C36" s="74">
        <f>C19-C34-C33</f>
        <v>70108</v>
      </c>
      <c r="D36" s="74">
        <f>D19-D34-D33</f>
        <v>97672.960000000006</v>
      </c>
      <c r="E36" s="74">
        <f>E19-E34-E33</f>
        <v>128520</v>
      </c>
      <c r="F36" s="74">
        <f>F19-F34-F33</f>
        <v>123450</v>
      </c>
    </row>
    <row r="37" spans="1:6" x14ac:dyDescent="0.25">
      <c r="A37" s="105" t="s">
        <v>91</v>
      </c>
      <c r="B37" s="105"/>
      <c r="C37" s="105"/>
      <c r="D37" s="105"/>
      <c r="E37" s="105"/>
      <c r="F37" s="105"/>
    </row>
    <row r="38" spans="1:6" x14ac:dyDescent="0.25">
      <c r="A38" s="62" t="s">
        <v>70</v>
      </c>
      <c r="B38" s="62">
        <f>C38/12</f>
        <v>668.75666666666666</v>
      </c>
      <c r="C38" s="62">
        <f>'Tax Brackets'!O15</f>
        <v>8025.08</v>
      </c>
      <c r="D38" s="62">
        <f>'Tax Brackets'!O16</f>
        <v>13205.3912</v>
      </c>
      <c r="E38" s="62">
        <f>'Tax Brackets'!O17</f>
        <v>19991.739999999998</v>
      </c>
      <c r="F38" s="62">
        <f>'Tax Brackets'!O18</f>
        <v>18876.339999999997</v>
      </c>
    </row>
    <row r="39" spans="1:6" x14ac:dyDescent="0.25">
      <c r="A39" s="62" t="s">
        <v>71</v>
      </c>
      <c r="B39" s="62">
        <f>B36*$B$3</f>
        <v>0</v>
      </c>
      <c r="C39" s="62">
        <f>C36*$B$3</f>
        <v>0</v>
      </c>
      <c r="D39" s="62">
        <f>D36*$B$4</f>
        <v>6934.7801600000003</v>
      </c>
      <c r="E39" s="62">
        <f>E36*$B$4</f>
        <v>9124.92</v>
      </c>
      <c r="F39" s="62">
        <f>F36*$B$4</f>
        <v>8764.9499999999989</v>
      </c>
    </row>
    <row r="40" spans="1:6" x14ac:dyDescent="0.25">
      <c r="A40" s="62" t="s">
        <v>72</v>
      </c>
      <c r="B40" s="62">
        <f>(B19-B33)*0.062</f>
        <v>465.55799999999999</v>
      </c>
      <c r="C40" s="62">
        <f>(C19-C33)*0.062</f>
        <v>5586.6959999999999</v>
      </c>
      <c r="D40" s="62">
        <f>(D19-D33)*0.062</f>
        <v>7295.7235200000005</v>
      </c>
      <c r="E40" s="62">
        <f>(E19-E33)*0.062</f>
        <v>9208.24</v>
      </c>
      <c r="F40" s="62">
        <f>(F19-F33)*0.062</f>
        <v>8893.9</v>
      </c>
    </row>
    <row r="41" spans="1:6" ht="15.75" thickBot="1" x14ac:dyDescent="0.3">
      <c r="A41" s="62" t="s">
        <v>73</v>
      </c>
      <c r="B41" s="64">
        <f>(B19-B33)*0.0145</f>
        <v>108.88050000000001</v>
      </c>
      <c r="C41" s="64">
        <f>(C19-C33)*0.0145</f>
        <v>1306.566</v>
      </c>
      <c r="D41" s="64">
        <f>(D19-D33)*0.0145</f>
        <v>1706.2579200000002</v>
      </c>
      <c r="E41" s="64">
        <f>(E19-E33)*0.0145</f>
        <v>2153.54</v>
      </c>
      <c r="F41" s="64">
        <f>(F19-F33)*0.0145</f>
        <v>2080.0250000000001</v>
      </c>
    </row>
    <row r="42" spans="1:6" ht="15.75" thickBot="1" x14ac:dyDescent="0.3">
      <c r="A42" s="62" t="s">
        <v>93</v>
      </c>
      <c r="B42" s="72">
        <f>SUM(B38:B41)</f>
        <v>1243.1951666666666</v>
      </c>
      <c r="C42" s="72">
        <f>SUM(C38:C41)</f>
        <v>14918.342000000001</v>
      </c>
      <c r="D42" s="72">
        <f>SUM(D38:D41)</f>
        <v>29142.1528</v>
      </c>
      <c r="E42" s="72">
        <f>SUM(E38:E41)</f>
        <v>40478.439999999995</v>
      </c>
      <c r="F42" s="72">
        <f>SUM(F38:F41)</f>
        <v>38615.214999999997</v>
      </c>
    </row>
    <row r="43" spans="1:6" ht="15.75" thickTop="1" x14ac:dyDescent="0.25">
      <c r="A43" s="62" t="s">
        <v>95</v>
      </c>
      <c r="B43" s="65">
        <f>(B19-B33-B42)+B24</f>
        <v>9188.8048333333336</v>
      </c>
      <c r="C43" s="65">
        <f>(C19-C33-C42)+C24</f>
        <v>110265.658</v>
      </c>
      <c r="D43" s="65">
        <f>(D19-D33-D42)+D24</f>
        <v>88530.80720000001</v>
      </c>
      <c r="E43" s="65">
        <f>(E19-E33-E42)+E24</f>
        <v>108041.56</v>
      </c>
      <c r="F43" s="65">
        <f>(F19-F33-F42)+F24</f>
        <v>104834.785</v>
      </c>
    </row>
    <row r="44" spans="1:6" x14ac:dyDescent="0.25">
      <c r="A44" s="62" t="s">
        <v>107</v>
      </c>
      <c r="B44" s="74">
        <f>B43/12</f>
        <v>765.73373611111117</v>
      </c>
      <c r="C44" s="74">
        <f>C43/12</f>
        <v>9188.8048333333336</v>
      </c>
      <c r="D44" s="74">
        <f>D43/12</f>
        <v>7377.5672666666678</v>
      </c>
      <c r="E44" s="74">
        <f>E43/12</f>
        <v>9003.4633333333331</v>
      </c>
      <c r="F44" s="74">
        <f>F43/12</f>
        <v>8736.2320833333342</v>
      </c>
    </row>
    <row r="45" spans="1:6" x14ac:dyDescent="0.25">
      <c r="A45" s="103" t="s">
        <v>153</v>
      </c>
      <c r="B45" s="110"/>
      <c r="C45" s="110"/>
      <c r="D45" s="111">
        <f>D43-$C$43</f>
        <v>-21734.850799999986</v>
      </c>
      <c r="E45" s="111">
        <f>E43-$C$43</f>
        <v>-2224.0979999999981</v>
      </c>
      <c r="F45" s="111">
        <f>F43-$C$43</f>
        <v>-5430.8729999999923</v>
      </c>
    </row>
    <row r="46" spans="1:6" x14ac:dyDescent="0.25">
      <c r="A46" s="103" t="s">
        <v>154</v>
      </c>
      <c r="B46" s="110"/>
      <c r="C46" s="110"/>
      <c r="D46" s="111">
        <f>D44-$C$44</f>
        <v>-1811.2375666666658</v>
      </c>
      <c r="E46" s="111">
        <f>E44-$C$44</f>
        <v>-185.34150000000045</v>
      </c>
      <c r="F46" s="111">
        <f>F44-$C$44</f>
        <v>-452.57274999999936</v>
      </c>
    </row>
  </sheetData>
  <sheetProtection sheet="1" objects="1" scenarios="1"/>
  <mergeCells count="5">
    <mergeCell ref="A1:B1"/>
    <mergeCell ref="A15:F15"/>
    <mergeCell ref="A20:F20"/>
    <mergeCell ref="A27:F27"/>
    <mergeCell ref="A37:F37"/>
  </mergeCells>
  <conditionalFormatting sqref="D45">
    <cfRule type="cellIs" dxfId="1" priority="2" operator="lessThan">
      <formula>0</formula>
    </cfRule>
  </conditionalFormatting>
  <conditionalFormatting sqref="D45:F4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F39B31-10A0-4F1A-AA47-09E6FE3BCBB9}">
          <x14:formula1>
            <xm:f>'Tax Brackets'!$B$1:$D$1</xm:f>
          </x14:formula1>
          <xm:sqref>B10:B11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7141E-4208-4BA8-AEC4-3EE64EACFFBF}">
  <dimension ref="A1:O20"/>
  <sheetViews>
    <sheetView workbookViewId="0">
      <selection activeCell="F34" sqref="F34"/>
    </sheetView>
  </sheetViews>
  <sheetFormatPr defaultRowHeight="15" x14ac:dyDescent="0.25"/>
  <cols>
    <col min="1" max="1" width="6.5703125" bestFit="1" customWidth="1"/>
    <col min="2" max="2" width="8" bestFit="1" customWidth="1"/>
    <col min="3" max="3" width="18.140625" bestFit="1" customWidth="1"/>
    <col min="4" max="4" width="8" bestFit="1" customWidth="1"/>
    <col min="6" max="6" width="24.140625" bestFit="1" customWidth="1"/>
    <col min="7" max="7" width="12.5703125" bestFit="1" customWidth="1"/>
  </cols>
  <sheetData>
    <row r="1" spans="1:15" x14ac:dyDescent="0.25">
      <c r="B1" t="s">
        <v>4</v>
      </c>
      <c r="C1" t="s">
        <v>96</v>
      </c>
      <c r="D1" t="s">
        <v>97</v>
      </c>
    </row>
    <row r="2" spans="1:15" x14ac:dyDescent="0.25">
      <c r="A2" s="35">
        <v>0.1</v>
      </c>
      <c r="B2">
        <v>9700</v>
      </c>
      <c r="C2">
        <v>13850</v>
      </c>
      <c r="D2">
        <v>19400</v>
      </c>
    </row>
    <row r="3" spans="1:15" x14ac:dyDescent="0.25">
      <c r="A3" s="35">
        <v>0.12</v>
      </c>
      <c r="B3">
        <v>39475</v>
      </c>
      <c r="C3">
        <v>52850</v>
      </c>
      <c r="D3">
        <v>78950</v>
      </c>
    </row>
    <row r="4" spans="1:15" x14ac:dyDescent="0.25">
      <c r="A4" s="35">
        <v>0.22</v>
      </c>
      <c r="B4">
        <v>84200</v>
      </c>
      <c r="C4">
        <v>84200</v>
      </c>
      <c r="D4">
        <v>168400</v>
      </c>
    </row>
    <row r="5" spans="1:15" x14ac:dyDescent="0.25">
      <c r="A5" s="35">
        <v>0.24</v>
      </c>
      <c r="B5">
        <v>160725</v>
      </c>
      <c r="C5">
        <v>160725</v>
      </c>
      <c r="D5">
        <v>321450</v>
      </c>
    </row>
    <row r="6" spans="1:15" x14ac:dyDescent="0.25">
      <c r="A6" s="35">
        <v>0.32</v>
      </c>
      <c r="B6">
        <v>204100</v>
      </c>
      <c r="C6">
        <v>204100</v>
      </c>
      <c r="D6">
        <v>408200</v>
      </c>
    </row>
    <row r="7" spans="1:15" x14ac:dyDescent="0.25">
      <c r="A7" s="35">
        <v>0.35</v>
      </c>
      <c r="B7">
        <v>510300</v>
      </c>
      <c r="C7">
        <v>510300</v>
      </c>
      <c r="D7">
        <v>612350</v>
      </c>
    </row>
    <row r="8" spans="1:15" x14ac:dyDescent="0.25">
      <c r="A8" s="35">
        <v>0.37</v>
      </c>
      <c r="B8">
        <v>1000000</v>
      </c>
      <c r="C8">
        <v>1000000</v>
      </c>
      <c r="D8">
        <v>1000000</v>
      </c>
    </row>
    <row r="12" spans="1:15" x14ac:dyDescent="0.25">
      <c r="G12" t="s">
        <v>100</v>
      </c>
      <c r="H12" t="str">
        <f>'Salary Calculator'!B10</f>
        <v>Joint</v>
      </c>
      <c r="J12" t="s">
        <v>101</v>
      </c>
      <c r="K12">
        <f>MATCH(H12,A1:D1,0)</f>
        <v>4</v>
      </c>
    </row>
    <row r="14" spans="1:15" x14ac:dyDescent="0.25">
      <c r="H14" s="35">
        <f>A2</f>
        <v>0.1</v>
      </c>
      <c r="I14" s="35">
        <f>A3</f>
        <v>0.12</v>
      </c>
      <c r="J14" s="35">
        <f>A4</f>
        <v>0.22</v>
      </c>
      <c r="K14" s="35">
        <f>A5</f>
        <v>0.24</v>
      </c>
      <c r="L14" s="35">
        <f>A6</f>
        <v>0.32</v>
      </c>
      <c r="M14" s="35">
        <f>A7</f>
        <v>0.35</v>
      </c>
      <c r="N14" s="35">
        <f>A8</f>
        <v>0.37</v>
      </c>
      <c r="O14" t="s">
        <v>98</v>
      </c>
    </row>
    <row r="15" spans="1:15" x14ac:dyDescent="0.25">
      <c r="F15" t="s">
        <v>102</v>
      </c>
      <c r="G15" s="25">
        <f>'Salary Calculator'!C36</f>
        <v>70108</v>
      </c>
      <c r="H15">
        <f>IF(G15&gt;VLOOKUP($H$14,$A$1:$D$8,$K$12,FALSE),VLOOKUP($H$14,$A$1:D8,$K$12,FALSE)*$H$14,G15*$H$14)</f>
        <v>1940</v>
      </c>
      <c r="I15">
        <f t="shared" ref="I15:I20" si="0">IF(G15&gt;VLOOKUP(H$14,$A$1:$D$8,$K$12,FALSE),IF(G15&gt;VLOOKUP(I$14,$A$1:$D$8,$K$12,FALSE),(VLOOKUP(I$14,$A$1:$D$8,$K$12,FALSE)-VLOOKUP(H$14,$A$1:$D$8,$K$12,FALSE)+1)*I$14,(G15-VLOOKUP(H$14,$A$1:$D$8,$K$12,FALSE)+1)*I$14),0)</f>
        <v>6085.08</v>
      </c>
      <c r="J15">
        <f t="shared" ref="J15:J20" si="1">IF(G15&gt;VLOOKUP(I$14,$A$1:$D$8,$K$12,FALSE),IF(G15&gt;VLOOKUP(J$14,$A$1:$D$8,$K$12,FALSE),(VLOOKUP(J$14,$A$1:$D$8,$K$12,FALSE)-VLOOKUP(I$14,$A$1:$D$8,$K$12,FALSE)+1)*J$14,(G15-VLOOKUP(I$14,$A$1:$D$8,$K$12,FALSE)+1)*J$14),0)</f>
        <v>0</v>
      </c>
      <c r="K15">
        <f t="shared" ref="K15:K20" si="2">IF(G15&gt;VLOOKUP(J$14,$A$1:$D$8,$K$12,FALSE),IF(G15&gt;VLOOKUP(K$14,$A$1:$D$8,$K$12,FALSE),(VLOOKUP(K$14,$A$1:$D$8,$K$12,FALSE)-VLOOKUP(J$14,$A$1:$D$8,$K$12,FALSE)+1)*K$14,(G15-VLOOKUP(J$14,$A$1:$D$8,$K$12,FALSE)+1)*K$14),0)</f>
        <v>0</v>
      </c>
      <c r="L15">
        <f t="shared" ref="L15:L20" si="3">IF(G15&gt;VLOOKUP(K$14,$A$1:$D$8,$K$12,FALSE),IF(G15&gt;VLOOKUP(L$14,$A$1:$D$8,$K$12,FALSE),(VLOOKUP(L$14,$A$1:$D$8,$K$12,FALSE)-VLOOKUP(K$14,$A$1:$D$8,$K$12,FALSE)+1)*L$14,(G15-VLOOKUP(K$14,$A$1:$D$8,$K$12,FALSE)+1)*L$14),0)</f>
        <v>0</v>
      </c>
      <c r="M15">
        <f t="shared" ref="M15:M20" si="4">IF(G15&gt;VLOOKUP(L$14,$A$1:$D$8,$K$12,FALSE),IF(G15&gt;VLOOKUP(M$14,$A$1:$D$8,$K$12,FALSE),(VLOOKUP(M$14,$A$1:$D$8,$K$12,FALSE)-VLOOKUP(L$14,$A$1:$D$8,$K$12,FALSE)+1)*M$14,(G15-VLOOKUP(L$14,$A$1:$D$8,$K$12,FALSE)+1)*M$14),0)</f>
        <v>0</v>
      </c>
      <c r="N15">
        <f t="shared" ref="N15:N20" si="5">IF(G15&gt;VLOOKUP(M$14,$A$1:$D$8,$K$12,FALSE),IF(G15&gt;VLOOKUP(N$14,$A$1:$D$8,$K$12,FALSE),(VLOOKUP(N$14,$A$1:$D$8,$K$12,FALSE)-VLOOKUP(M$14,$A$1:$D$8,$K$12,FALSE)+1)*N$14,(G15-VLOOKUP(M$14,$A$1:$D$8,$K$12,FALSE)+1)*N$14),0)</f>
        <v>0</v>
      </c>
      <c r="O15">
        <f t="shared" ref="O15:O20" si="6">SUM(H15:N15)</f>
        <v>8025.08</v>
      </c>
    </row>
    <row r="16" spans="1:15" x14ac:dyDescent="0.25">
      <c r="F16" t="s">
        <v>103</v>
      </c>
      <c r="G16" s="25">
        <f>'Salary Calculator'!D36</f>
        <v>97672.960000000006</v>
      </c>
      <c r="H16">
        <f>IF(G16&gt;VLOOKUP($H$14,$A$1:$D$8,$K$12,FALSE),VLOOKUP($H$14,$A$1:D9,$K$12,FALSE)*$H$14,G16*$H$14)</f>
        <v>1940</v>
      </c>
      <c r="I16">
        <f t="shared" si="0"/>
        <v>7146.12</v>
      </c>
      <c r="J16">
        <f t="shared" si="1"/>
        <v>4119.271200000001</v>
      </c>
      <c r="K16">
        <f t="shared" si="2"/>
        <v>0</v>
      </c>
      <c r="L16">
        <f t="shared" si="3"/>
        <v>0</v>
      </c>
      <c r="M16">
        <f t="shared" si="4"/>
        <v>0</v>
      </c>
      <c r="N16">
        <f t="shared" si="5"/>
        <v>0</v>
      </c>
      <c r="O16">
        <f t="shared" si="6"/>
        <v>13205.3912</v>
      </c>
    </row>
    <row r="17" spans="6:15" x14ac:dyDescent="0.25">
      <c r="F17" t="s">
        <v>104</v>
      </c>
      <c r="G17" s="25">
        <f>'Salary Calculator'!E36</f>
        <v>128520</v>
      </c>
      <c r="H17">
        <f>IF(G17&gt;VLOOKUP($H$14,$A$1:$D$8,$K$12,FALSE),VLOOKUP($H$14,$A$1:D10,$K$12,FALSE)*$H$14,G17*$H$14)</f>
        <v>1940</v>
      </c>
      <c r="I17">
        <f t="shared" si="0"/>
        <v>7146.12</v>
      </c>
      <c r="J17">
        <f t="shared" si="1"/>
        <v>10905.62</v>
      </c>
      <c r="K17">
        <f t="shared" si="2"/>
        <v>0</v>
      </c>
      <c r="L17">
        <f t="shared" si="3"/>
        <v>0</v>
      </c>
      <c r="M17">
        <f t="shared" si="4"/>
        <v>0</v>
      </c>
      <c r="N17">
        <f t="shared" si="5"/>
        <v>0</v>
      </c>
      <c r="O17">
        <f t="shared" si="6"/>
        <v>19991.739999999998</v>
      </c>
    </row>
    <row r="18" spans="6:15" x14ac:dyDescent="0.25">
      <c r="F18" t="s">
        <v>81</v>
      </c>
      <c r="G18" s="25">
        <f>'Salary Calculator'!F36</f>
        <v>123450</v>
      </c>
      <c r="H18">
        <f>IF(G18&gt;VLOOKUP($H$14,$A$1:$D$8,$K$12,FALSE),VLOOKUP($H$14,$A$1:D11,$K$12,FALSE)*$H$14,G18*$H$14)</f>
        <v>1940</v>
      </c>
      <c r="I18">
        <f t="shared" si="0"/>
        <v>7146.12</v>
      </c>
      <c r="J18">
        <f t="shared" si="1"/>
        <v>9790.2199999999993</v>
      </c>
      <c r="K18">
        <f t="shared" si="2"/>
        <v>0</v>
      </c>
      <c r="L18">
        <f t="shared" si="3"/>
        <v>0</v>
      </c>
      <c r="M18">
        <f t="shared" si="4"/>
        <v>0</v>
      </c>
      <c r="N18">
        <f t="shared" si="5"/>
        <v>0</v>
      </c>
      <c r="O18">
        <f t="shared" si="6"/>
        <v>18876.339999999997</v>
      </c>
    </row>
    <row r="19" spans="6:15" x14ac:dyDescent="0.25">
      <c r="F19" t="s">
        <v>147</v>
      </c>
      <c r="G19" s="25">
        <f>Information!B44</f>
        <v>90108</v>
      </c>
      <c r="H19">
        <f>IF(G19&gt;VLOOKUP($H$14,$A$1:$D$8,$K$12,FALSE),VLOOKUP($H$14,$A$1:D12,$K$12,FALSE)*$H$14,G19*$H$14)</f>
        <v>1940</v>
      </c>
      <c r="I19">
        <f t="shared" si="0"/>
        <v>7146.12</v>
      </c>
      <c r="J19">
        <f t="shared" si="1"/>
        <v>2454.98</v>
      </c>
      <c r="K19">
        <f t="shared" si="2"/>
        <v>0</v>
      </c>
      <c r="L19">
        <f t="shared" si="3"/>
        <v>0</v>
      </c>
      <c r="M19">
        <f t="shared" si="4"/>
        <v>0</v>
      </c>
      <c r="N19">
        <f t="shared" si="5"/>
        <v>0</v>
      </c>
      <c r="O19">
        <f t="shared" si="6"/>
        <v>11541.099999999999</v>
      </c>
    </row>
    <row r="20" spans="6:15" x14ac:dyDescent="0.25">
      <c r="F20" t="s">
        <v>148</v>
      </c>
      <c r="G20" s="25">
        <f ca="1">Information!C44</f>
        <v>208973.46925675677</v>
      </c>
      <c r="H20">
        <f ca="1">IF(G20&gt;VLOOKUP($H$14,$A$1:$D$8,$K$12,FALSE),VLOOKUP($H$14,$A$1:D13,$K$12,FALSE)*$H$14,G20*$H$14)</f>
        <v>1940</v>
      </c>
      <c r="I20">
        <f t="shared" ca="1" si="0"/>
        <v>7146.12</v>
      </c>
      <c r="J20">
        <f t="shared" ca="1" si="1"/>
        <v>19679.22</v>
      </c>
      <c r="K20">
        <f t="shared" ca="1" si="2"/>
        <v>9737.8726216216237</v>
      </c>
      <c r="L20">
        <f t="shared" ca="1" si="3"/>
        <v>0</v>
      </c>
      <c r="M20">
        <f t="shared" ca="1" si="4"/>
        <v>0</v>
      </c>
      <c r="N20">
        <f t="shared" ca="1" si="5"/>
        <v>0</v>
      </c>
      <c r="O20">
        <f t="shared" ca="1" si="6"/>
        <v>38503.212621621627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3C2C3-7577-4F1E-88EF-3D136E7FF800}">
  <sheetPr codeName="Sheet4"/>
  <dimension ref="A1:P7"/>
  <sheetViews>
    <sheetView workbookViewId="0">
      <selection activeCell="A2" sqref="A2:A25"/>
    </sheetView>
  </sheetViews>
  <sheetFormatPr defaultRowHeight="15" x14ac:dyDescent="0.25"/>
  <cols>
    <col min="1" max="1" width="18.28515625" bestFit="1" customWidth="1"/>
    <col min="2" max="2" width="18.28515625" customWidth="1"/>
    <col min="3" max="6" width="9.28515625" bestFit="1" customWidth="1"/>
    <col min="7" max="12" width="10.5703125" bestFit="1" customWidth="1"/>
  </cols>
  <sheetData>
    <row r="1" spans="1:16" x14ac:dyDescent="0.25">
      <c r="A1" s="85" t="s">
        <v>86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32"/>
      <c r="N1" s="32"/>
      <c r="O1" s="32"/>
      <c r="P1" s="32"/>
    </row>
    <row r="2" spans="1:16" x14ac:dyDescent="0.25">
      <c r="A2" s="21" t="s">
        <v>8</v>
      </c>
      <c r="B2" s="36">
        <v>0</v>
      </c>
      <c r="C2" s="36">
        <v>10</v>
      </c>
      <c r="D2" s="36">
        <v>20</v>
      </c>
      <c r="E2" s="36">
        <v>30</v>
      </c>
      <c r="F2" s="36">
        <v>40</v>
      </c>
      <c r="G2" s="36">
        <v>50</v>
      </c>
      <c r="H2" s="36">
        <v>60</v>
      </c>
      <c r="I2" s="36">
        <v>70</v>
      </c>
      <c r="J2" s="36">
        <v>80</v>
      </c>
      <c r="K2" s="36">
        <v>90</v>
      </c>
      <c r="L2" s="36">
        <v>100</v>
      </c>
    </row>
    <row r="3" spans="1:16" x14ac:dyDescent="0.25">
      <c r="A3" s="21" t="s">
        <v>4</v>
      </c>
      <c r="B3" s="21">
        <v>0</v>
      </c>
      <c r="C3" s="21">
        <v>140.05000000000001</v>
      </c>
      <c r="D3" s="21">
        <v>276.83999999999997</v>
      </c>
      <c r="E3" s="21">
        <v>428.83</v>
      </c>
      <c r="F3" s="21">
        <v>617.73</v>
      </c>
      <c r="G3" s="21">
        <v>879.36</v>
      </c>
      <c r="H3" s="21">
        <v>1113.8599999999999</v>
      </c>
      <c r="I3" s="21">
        <v>1403.71</v>
      </c>
      <c r="J3" s="21">
        <v>1631.69</v>
      </c>
      <c r="K3" s="21">
        <v>1833.62</v>
      </c>
      <c r="L3" s="21">
        <v>3057.13</v>
      </c>
    </row>
    <row r="4" spans="1:16" x14ac:dyDescent="0.25">
      <c r="A4" s="21" t="s">
        <v>5</v>
      </c>
      <c r="B4" s="21">
        <v>0</v>
      </c>
      <c r="C4" s="21">
        <v>140.05000000000001</v>
      </c>
      <c r="D4" s="21">
        <v>276.83999999999997</v>
      </c>
      <c r="E4" s="21">
        <v>479.83</v>
      </c>
      <c r="F4" s="21">
        <v>685.73</v>
      </c>
      <c r="G4" s="21">
        <v>964.36</v>
      </c>
      <c r="H4" s="21">
        <v>1215.8599999999999</v>
      </c>
      <c r="I4" s="21">
        <v>1522.71</v>
      </c>
      <c r="J4" s="21">
        <v>1767.69</v>
      </c>
      <c r="K4" s="21">
        <v>1986.62</v>
      </c>
      <c r="L4" s="21">
        <v>3227.58</v>
      </c>
    </row>
    <row r="5" spans="1:16" x14ac:dyDescent="0.25">
      <c r="A5" s="21" t="s">
        <v>65</v>
      </c>
      <c r="B5" s="21">
        <v>0</v>
      </c>
      <c r="C5" s="21">
        <v>140.05000000000001</v>
      </c>
      <c r="D5" s="21">
        <v>276.83999999999997</v>
      </c>
      <c r="E5" s="21">
        <v>516.83000000000004</v>
      </c>
      <c r="F5" s="21">
        <v>735.73</v>
      </c>
      <c r="G5" s="21">
        <v>1026.3599999999999</v>
      </c>
      <c r="H5" s="21">
        <v>1290.8599999999999</v>
      </c>
      <c r="I5" s="21">
        <v>1609.71</v>
      </c>
      <c r="J5" s="21">
        <v>1867.69</v>
      </c>
      <c r="K5" s="21">
        <v>2098.62</v>
      </c>
      <c r="L5" s="21">
        <v>3352.41</v>
      </c>
    </row>
    <row r="6" spans="1:16" x14ac:dyDescent="0.25">
      <c r="A6" s="21" t="s">
        <v>6</v>
      </c>
      <c r="B6" s="21">
        <v>0</v>
      </c>
      <c r="C6" s="21">
        <v>140.05000000000001</v>
      </c>
      <c r="D6" s="21">
        <v>276.83999999999997</v>
      </c>
      <c r="E6" s="21">
        <v>462.83</v>
      </c>
      <c r="F6" s="21">
        <v>662.73</v>
      </c>
      <c r="G6" s="21">
        <v>935.36</v>
      </c>
      <c r="H6" s="21">
        <v>1181.8599999999999</v>
      </c>
      <c r="I6" s="21">
        <v>1482.71</v>
      </c>
      <c r="J6" s="21">
        <v>1722.69</v>
      </c>
      <c r="K6" s="21">
        <v>1935.62</v>
      </c>
      <c r="L6" s="21">
        <v>3171.12</v>
      </c>
    </row>
    <row r="7" spans="1:16" x14ac:dyDescent="0.25">
      <c r="A7" s="21" t="s">
        <v>7</v>
      </c>
      <c r="B7" s="21">
        <v>0</v>
      </c>
      <c r="C7" s="21">
        <v>140.05000000000001</v>
      </c>
      <c r="D7" s="21">
        <v>276.83999999999997</v>
      </c>
      <c r="E7" s="21">
        <v>25</v>
      </c>
      <c r="F7" s="21">
        <v>33</v>
      </c>
      <c r="G7" s="21">
        <v>42</v>
      </c>
      <c r="H7" s="21">
        <v>50</v>
      </c>
      <c r="I7" s="21">
        <v>59</v>
      </c>
      <c r="J7" s="21">
        <v>67</v>
      </c>
      <c r="K7" s="21">
        <v>76</v>
      </c>
      <c r="L7" s="21">
        <v>84.69</v>
      </c>
    </row>
  </sheetData>
  <mergeCells count="1">
    <mergeCell ref="A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F3A1-CA4A-40CA-866B-18A7C45EF1A9}">
  <sheetPr codeName="Sheet1">
    <tabColor rgb="FFFFC000"/>
  </sheetPr>
  <dimension ref="A1:F13"/>
  <sheetViews>
    <sheetView workbookViewId="0">
      <selection activeCell="D27" sqref="D27"/>
    </sheetView>
  </sheetViews>
  <sheetFormatPr defaultRowHeight="15" x14ac:dyDescent="0.25"/>
  <cols>
    <col min="1" max="1" width="36.5703125" bestFit="1" customWidth="1"/>
    <col min="2" max="2" width="18.28515625" bestFit="1" customWidth="1"/>
    <col min="4" max="4" width="25.140625" bestFit="1" customWidth="1"/>
    <col min="5" max="5" width="3.7109375" customWidth="1"/>
    <col min="6" max="6" width="10.5703125" bestFit="1" customWidth="1"/>
    <col min="8" max="8" width="15.28515625" bestFit="1" customWidth="1"/>
  </cols>
  <sheetData>
    <row r="1" spans="1:6" x14ac:dyDescent="0.25">
      <c r="A1" s="85" t="s">
        <v>83</v>
      </c>
      <c r="B1" s="85"/>
      <c r="D1" s="85" t="s">
        <v>32</v>
      </c>
      <c r="E1" s="85"/>
      <c r="F1" s="85"/>
    </row>
    <row r="2" spans="1:6" x14ac:dyDescent="0.25">
      <c r="A2" s="41" t="s">
        <v>13</v>
      </c>
      <c r="B2" s="76">
        <f>Information!E4</f>
        <v>36356</v>
      </c>
      <c r="D2" s="6" t="s">
        <v>18</v>
      </c>
      <c r="E2" s="88" t="s">
        <v>24</v>
      </c>
      <c r="F2" s="2">
        <f>'Retirement Pay Calculations'!J5</f>
        <v>0.52708333333333335</v>
      </c>
    </row>
    <row r="3" spans="1:6" ht="15.75" thickBot="1" x14ac:dyDescent="0.3">
      <c r="A3" s="41" t="s">
        <v>14</v>
      </c>
      <c r="B3" s="76">
        <f>Information!E5</f>
        <v>44075</v>
      </c>
      <c r="D3" s="6" t="s">
        <v>19</v>
      </c>
      <c r="E3" s="89"/>
      <c r="F3" s="3">
        <f ca="1">'Retirement Pay Calculations'!K5</f>
        <v>6636.1216216216208</v>
      </c>
    </row>
    <row r="4" spans="1:6" x14ac:dyDescent="0.25">
      <c r="A4" s="41" t="s">
        <v>9</v>
      </c>
      <c r="B4" s="50" t="str">
        <f>Information!E16</f>
        <v>Married with Child</v>
      </c>
      <c r="D4" s="10" t="s">
        <v>20</v>
      </c>
      <c r="E4" s="90" t="s">
        <v>26</v>
      </c>
      <c r="F4" s="9">
        <f ca="1">'Retirement Pay Calculations'!L5</f>
        <v>3497.7891047297294</v>
      </c>
    </row>
    <row r="5" spans="1:6" ht="15.75" thickBot="1" x14ac:dyDescent="0.3">
      <c r="A5" s="41" t="s">
        <v>15</v>
      </c>
      <c r="B5" s="50">
        <f>Information!E17</f>
        <v>2</v>
      </c>
      <c r="D5" s="6" t="s">
        <v>25</v>
      </c>
      <c r="E5" s="91"/>
      <c r="F5" s="4">
        <f>IF(B6&lt;50,F12,0)</f>
        <v>0</v>
      </c>
    </row>
    <row r="6" spans="1:6" x14ac:dyDescent="0.25">
      <c r="A6" s="41" t="s">
        <v>8</v>
      </c>
      <c r="B6" s="77">
        <f>Information!E15</f>
        <v>80</v>
      </c>
      <c r="D6" s="10" t="s">
        <v>28</v>
      </c>
      <c r="E6" s="86" t="s">
        <v>26</v>
      </c>
      <c r="F6" s="9">
        <f ca="1">F4-F5</f>
        <v>3497.7891047297294</v>
      </c>
    </row>
    <row r="7" spans="1:6" ht="15.75" thickBot="1" x14ac:dyDescent="0.3">
      <c r="A7" s="41" t="s">
        <v>16</v>
      </c>
      <c r="B7" s="78">
        <f>Information!E12</f>
        <v>7.0999999999999994E-2</v>
      </c>
      <c r="D7" s="6" t="s">
        <v>23</v>
      </c>
      <c r="E7" s="87"/>
      <c r="F7" s="3">
        <f ca="1">'Retirement Pay Calculations'!O5</f>
        <v>227.35629180743243</v>
      </c>
    </row>
    <row r="8" spans="1:6" x14ac:dyDescent="0.25">
      <c r="A8" s="41" t="s">
        <v>60</v>
      </c>
      <c r="B8" s="50" t="str">
        <f>Information!E3</f>
        <v>W-4</v>
      </c>
      <c r="D8" s="10" t="s">
        <v>29</v>
      </c>
      <c r="E8" s="92" t="s">
        <v>26</v>
      </c>
      <c r="F8" s="9">
        <f ca="1">F6-F7</f>
        <v>3270.4328129222968</v>
      </c>
    </row>
    <row r="9" spans="1:6" x14ac:dyDescent="0.25">
      <c r="A9" s="41" t="s">
        <v>57</v>
      </c>
      <c r="B9" s="76">
        <f>Information!E11</f>
        <v>43435</v>
      </c>
      <c r="D9" s="6" t="s">
        <v>22</v>
      </c>
      <c r="E9" s="93"/>
      <c r="F9" s="79">
        <f ca="1">((Information!C62/Information!C44)*'Retirment Pay Summary'!F8)+(F8*Information!E12)</f>
        <v>834.77564225798415</v>
      </c>
    </row>
    <row r="10" spans="1:6" ht="15.75" thickBot="1" x14ac:dyDescent="0.3">
      <c r="A10" s="41" t="s">
        <v>129</v>
      </c>
      <c r="B10" s="44" t="str">
        <f>Information!E13</f>
        <v>Yes</v>
      </c>
      <c r="D10" s="6" t="s">
        <v>82</v>
      </c>
      <c r="E10" s="94"/>
      <c r="F10" s="3">
        <f ca="1">F8*(0.0145+0.062)</f>
        <v>250.1881101885557</v>
      </c>
    </row>
    <row r="11" spans="1:6" x14ac:dyDescent="0.25">
      <c r="D11" s="10" t="s">
        <v>27</v>
      </c>
      <c r="E11" s="86" t="s">
        <v>30</v>
      </c>
      <c r="F11" s="26">
        <f ca="1">F8-F9-F10</f>
        <v>2185.469060475757</v>
      </c>
    </row>
    <row r="12" spans="1:6" ht="15.75" thickBot="1" x14ac:dyDescent="0.3">
      <c r="D12" s="8" t="s">
        <v>21</v>
      </c>
      <c r="E12" s="87"/>
      <c r="F12" s="3">
        <f>'Retirement Pay Calculations'!M5</f>
        <v>1934.69</v>
      </c>
    </row>
    <row r="13" spans="1:6" x14ac:dyDescent="0.25">
      <c r="D13" s="7" t="s">
        <v>31</v>
      </c>
      <c r="F13" s="5">
        <f ca="1">F11+F12</f>
        <v>4120.1590604757566</v>
      </c>
    </row>
  </sheetData>
  <sheetProtection sheet="1" objects="1" scenarios="1"/>
  <mergeCells count="7">
    <mergeCell ref="A1:B1"/>
    <mergeCell ref="E11:E12"/>
    <mergeCell ref="D1:F1"/>
    <mergeCell ref="E2:E3"/>
    <mergeCell ref="E4:E5"/>
    <mergeCell ref="E6:E7"/>
    <mergeCell ref="E8:E1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6BBBFC6-FFAB-4B7A-BBE1-D73F9714A2B0}">
          <x14:formula1>
            <xm:f>'Disability Payment'!$A$3:$A$7</xm:f>
          </x14:formula1>
          <xm:sqref>B4</xm:sqref>
        </x14:dataValidation>
        <x14:dataValidation type="list" allowBlank="1" showInputMessage="1" showErrorMessage="1" xr:uid="{707BD3D2-EADA-4195-B83B-0031E2A00AF2}">
          <x14:formula1>
            <xm:f>'2019 Pay Chart'!$A$2:$A$25</xm:f>
          </x14:formula1>
          <xm:sqref>B8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98ED4-15D4-40A4-BF23-8B16E3326513}">
  <sheetPr>
    <tabColor rgb="FF0070C0"/>
  </sheetPr>
  <dimension ref="A1:W25"/>
  <sheetViews>
    <sheetView workbookViewId="0">
      <selection activeCell="Q32" sqref="Q32"/>
    </sheetView>
  </sheetViews>
  <sheetFormatPr defaultColWidth="9.140625" defaultRowHeight="15" x14ac:dyDescent="0.25"/>
  <cols>
    <col min="1" max="1" width="18.28515625" style="11" bestFit="1" customWidth="1"/>
    <col min="2" max="16384" width="9.140625" style="11"/>
  </cols>
  <sheetData>
    <row r="1" spans="1:23" ht="15.75" thickBot="1" x14ac:dyDescent="0.3">
      <c r="A1" s="12"/>
      <c r="B1" s="12">
        <v>0</v>
      </c>
      <c r="C1" s="12">
        <v>2</v>
      </c>
      <c r="D1" s="12">
        <v>3</v>
      </c>
      <c r="E1" s="12">
        <v>4</v>
      </c>
      <c r="F1" s="12">
        <v>6</v>
      </c>
      <c r="G1" s="12">
        <v>8</v>
      </c>
      <c r="H1" s="12">
        <v>10</v>
      </c>
      <c r="I1" s="12">
        <v>12</v>
      </c>
      <c r="J1" s="12">
        <v>14</v>
      </c>
      <c r="K1" s="12">
        <v>16</v>
      </c>
      <c r="L1" s="12">
        <v>18</v>
      </c>
      <c r="M1" s="12">
        <v>20</v>
      </c>
      <c r="N1" s="12">
        <v>22</v>
      </c>
      <c r="O1" s="12">
        <v>24</v>
      </c>
      <c r="P1" s="12">
        <v>26</v>
      </c>
      <c r="Q1" s="12">
        <v>28</v>
      </c>
      <c r="R1" s="12">
        <v>30</v>
      </c>
      <c r="S1" s="12">
        <v>32</v>
      </c>
      <c r="T1" s="12">
        <v>34</v>
      </c>
      <c r="U1" s="12">
        <v>36</v>
      </c>
      <c r="V1" s="12">
        <v>38</v>
      </c>
      <c r="W1" s="12">
        <v>40</v>
      </c>
    </row>
    <row r="2" spans="1:23" ht="15.75" thickBot="1" x14ac:dyDescent="0.3">
      <c r="A2" s="12" t="s">
        <v>48</v>
      </c>
      <c r="B2" s="112">
        <f>'2020 Pay Chart'!B2+(0.02*'2020 Pay Chart'!B2)</f>
        <v>16770.635999999999</v>
      </c>
      <c r="C2" s="112">
        <f>'2020 Pay Chart'!C2+(0.02*'2020 Pay Chart'!C2)</f>
        <v>16770.635999999999</v>
      </c>
      <c r="D2" s="112">
        <f>'2020 Pay Chart'!D2+(0.02*'2020 Pay Chart'!D2)</f>
        <v>16770.635999999999</v>
      </c>
      <c r="E2" s="112">
        <f>'2020 Pay Chart'!E2+(0.02*'2020 Pay Chart'!E2)</f>
        <v>16770.635999999999</v>
      </c>
      <c r="F2" s="112">
        <f>'2020 Pay Chart'!F2+(0.02*'2020 Pay Chart'!F2)</f>
        <v>16770.635999999999</v>
      </c>
      <c r="G2" s="112">
        <f>'2020 Pay Chart'!G2+(0.02*'2020 Pay Chart'!G2)</f>
        <v>16770.635999999999</v>
      </c>
      <c r="H2" s="112">
        <f>'2020 Pay Chart'!H2+(0.02*'2020 Pay Chart'!H2)</f>
        <v>16770.635999999999</v>
      </c>
      <c r="I2" s="112">
        <f>'2020 Pay Chart'!I2+(0.02*'2020 Pay Chart'!I2)</f>
        <v>16770.635999999999</v>
      </c>
      <c r="J2" s="112">
        <f>'2020 Pay Chart'!J2+(0.02*'2020 Pay Chart'!J2)</f>
        <v>16770.635999999999</v>
      </c>
      <c r="K2" s="112">
        <f>'2020 Pay Chart'!K2+(0.02*'2020 Pay Chart'!K2)</f>
        <v>16770.635999999999</v>
      </c>
      <c r="L2" s="112">
        <f>'2020 Pay Chart'!L2+(0.02*'2020 Pay Chart'!L2)</f>
        <v>16770.635999999999</v>
      </c>
      <c r="M2" s="112">
        <f>'2020 Pay Chart'!M2+(0.02*'2020 Pay Chart'!M2)</f>
        <v>16770.635999999999</v>
      </c>
      <c r="N2" s="112">
        <f>'2020 Pay Chart'!N2+(0.02*'2020 Pay Chart'!N2)</f>
        <v>16770.635999999999</v>
      </c>
      <c r="O2" s="112">
        <f>'2020 Pay Chart'!O2+(0.02*'2020 Pay Chart'!O2)</f>
        <v>16770.635999999999</v>
      </c>
      <c r="P2" s="112">
        <f>'2020 Pay Chart'!P2+(0.02*'2020 Pay Chart'!P2)</f>
        <v>16770.635999999999</v>
      </c>
      <c r="Q2" s="112">
        <f>'2020 Pay Chart'!Q2+(0.02*'2020 Pay Chart'!Q2)</f>
        <v>16770.635999999999</v>
      </c>
      <c r="R2" s="112">
        <f>'2020 Pay Chart'!R2+(0.02*'2020 Pay Chart'!R2)</f>
        <v>16770.635999999999</v>
      </c>
      <c r="S2" s="112">
        <f>'2020 Pay Chart'!S2+(0.02*'2020 Pay Chart'!S2)</f>
        <v>16770.635999999999</v>
      </c>
      <c r="T2" s="112">
        <f>'2020 Pay Chart'!T2+(0.02*'2020 Pay Chart'!T2)</f>
        <v>16770.635999999999</v>
      </c>
      <c r="U2" s="112">
        <f>'2020 Pay Chart'!U2+(0.02*'2020 Pay Chart'!U2)</f>
        <v>16770.635999999999</v>
      </c>
      <c r="V2" s="112">
        <f>'2020 Pay Chart'!V2+(0.02*'2020 Pay Chart'!V2)</f>
        <v>16770.635999999999</v>
      </c>
      <c r="W2" s="112">
        <f>'2020 Pay Chart'!W2+(0.02*'2020 Pay Chart'!W2)</f>
        <v>16770.635999999999</v>
      </c>
    </row>
    <row r="3" spans="1:23" ht="15.75" thickBot="1" x14ac:dyDescent="0.3">
      <c r="A3" s="12" t="s">
        <v>49</v>
      </c>
      <c r="B3" s="112">
        <f>'2020 Pay Chart'!B3+(0.02*'2020 Pay Chart'!B3)</f>
        <v>15856.92</v>
      </c>
      <c r="C3" s="112">
        <f>'2020 Pay Chart'!C3+(0.02*'2020 Pay Chart'!C3)</f>
        <v>15856.92</v>
      </c>
      <c r="D3" s="112">
        <f>'2020 Pay Chart'!D3+(0.02*'2020 Pay Chart'!D3)</f>
        <v>15856.92</v>
      </c>
      <c r="E3" s="112">
        <f>'2020 Pay Chart'!E3+(0.02*'2020 Pay Chart'!E3)</f>
        <v>15856.92</v>
      </c>
      <c r="F3" s="112">
        <f>'2020 Pay Chart'!F3+(0.02*'2020 Pay Chart'!F3)</f>
        <v>15856.92</v>
      </c>
      <c r="G3" s="112">
        <f>'2020 Pay Chart'!G3+(0.02*'2020 Pay Chart'!G3)</f>
        <v>15856.92</v>
      </c>
      <c r="H3" s="112">
        <f>'2020 Pay Chart'!H3+(0.02*'2020 Pay Chart'!H3)</f>
        <v>15856.92</v>
      </c>
      <c r="I3" s="112">
        <f>'2020 Pay Chart'!I3+(0.02*'2020 Pay Chart'!I3)</f>
        <v>15856.92</v>
      </c>
      <c r="J3" s="112">
        <f>'2020 Pay Chart'!J3+(0.02*'2020 Pay Chart'!J3)</f>
        <v>15856.92</v>
      </c>
      <c r="K3" s="112">
        <f>'2020 Pay Chart'!K3+(0.02*'2020 Pay Chart'!K3)</f>
        <v>15856.92</v>
      </c>
      <c r="L3" s="112">
        <f>'2020 Pay Chart'!L3+(0.02*'2020 Pay Chart'!L3)</f>
        <v>15856.92</v>
      </c>
      <c r="M3" s="112">
        <f>'2020 Pay Chart'!M3+(0.02*'2020 Pay Chart'!M3)</f>
        <v>15856.92</v>
      </c>
      <c r="N3" s="112">
        <f>'2020 Pay Chart'!N3+(0.02*'2020 Pay Chart'!N3)</f>
        <v>16086.114000000001</v>
      </c>
      <c r="O3" s="112">
        <f>'2020 Pay Chart'!O3+(0.02*'2020 Pay Chart'!O3)</f>
        <v>16415.982</v>
      </c>
      <c r="P3" s="112">
        <f>'2020 Pay Chart'!P3+(0.02*'2020 Pay Chart'!P3)</f>
        <v>16770.635999999999</v>
      </c>
      <c r="Q3" s="112">
        <f>'2020 Pay Chart'!Q3+(0.02*'2020 Pay Chart'!Q3)</f>
        <v>16770.635999999999</v>
      </c>
      <c r="R3" s="112">
        <f>'2020 Pay Chart'!R3+(0.02*'2020 Pay Chart'!R3)</f>
        <v>16770.635999999999</v>
      </c>
      <c r="S3" s="112">
        <f>'2020 Pay Chart'!S3+(0.02*'2020 Pay Chart'!S3)</f>
        <v>16770.635999999999</v>
      </c>
      <c r="T3" s="112">
        <f>'2020 Pay Chart'!T3+(0.02*'2020 Pay Chart'!T3)</f>
        <v>16770.635999999999</v>
      </c>
      <c r="U3" s="112">
        <f>'2020 Pay Chart'!U3+(0.02*'2020 Pay Chart'!U3)</f>
        <v>16770.635999999999</v>
      </c>
      <c r="V3" s="112">
        <f>'2020 Pay Chart'!V3+(0.02*'2020 Pay Chart'!V3)</f>
        <v>16770.635999999999</v>
      </c>
      <c r="W3" s="112">
        <f>'2020 Pay Chart'!W3+(0.02*'2020 Pay Chart'!W3)</f>
        <v>16770.635999999999</v>
      </c>
    </row>
    <row r="4" spans="1:23" ht="15.75" thickBot="1" x14ac:dyDescent="0.3">
      <c r="A4" s="12" t="s">
        <v>50</v>
      </c>
      <c r="B4" s="112">
        <f>'2020 Pay Chart'!B4+(0.02*'2020 Pay Chart'!B4)</f>
        <v>11219.49</v>
      </c>
      <c r="C4" s="112">
        <f>'2020 Pay Chart'!C4+(0.02*'2020 Pay Chart'!C4)</f>
        <v>11587.608</v>
      </c>
      <c r="D4" s="112">
        <f>'2020 Pay Chart'!D4+(0.02*'2020 Pay Chart'!D4)</f>
        <v>11831.49</v>
      </c>
      <c r="E4" s="112">
        <f>'2020 Pay Chart'!E4+(0.02*'2020 Pay Chart'!E4)</f>
        <v>11899.422</v>
      </c>
      <c r="F4" s="112">
        <f>'2020 Pay Chart'!F4+(0.02*'2020 Pay Chart'!F4)</f>
        <v>12203.892</v>
      </c>
      <c r="G4" s="112">
        <f>'2020 Pay Chart'!G4+(0.02*'2020 Pay Chart'!G4)</f>
        <v>12712.157999999999</v>
      </c>
      <c r="H4" s="112">
        <f>'2020 Pay Chart'!H4+(0.02*'2020 Pay Chart'!H4)</f>
        <v>12830.58</v>
      </c>
      <c r="I4" s="112">
        <f>'2020 Pay Chart'!I4+(0.02*'2020 Pay Chart'!I4)</f>
        <v>13313.142</v>
      </c>
      <c r="J4" s="112">
        <f>'2020 Pay Chart'!J4+(0.02*'2020 Pay Chart'!J4)</f>
        <v>13452.065999999999</v>
      </c>
      <c r="K4" s="112">
        <f>'2020 Pay Chart'!K4+(0.02*'2020 Pay Chart'!K4)</f>
        <v>13867.92</v>
      </c>
      <c r="L4" s="112">
        <f>'2020 Pay Chart'!L4+(0.02*'2020 Pay Chart'!L4)</f>
        <v>14469.822</v>
      </c>
      <c r="M4" s="112">
        <f>'2020 Pay Chart'!M4+(0.02*'2020 Pay Chart'!M4)</f>
        <v>15024.6</v>
      </c>
      <c r="N4" s="112">
        <f>'2020 Pay Chart'!N4+(0.02*'2020 Pay Chart'!N4)</f>
        <v>15395.165999999999</v>
      </c>
      <c r="O4" s="112">
        <f>'2020 Pay Chart'!O4+(0.02*'2020 Pay Chart'!O4)</f>
        <v>15395.165999999999</v>
      </c>
      <c r="P4" s="112">
        <f>'2020 Pay Chart'!P4+(0.02*'2020 Pay Chart'!P4)</f>
        <v>15395.165999999999</v>
      </c>
      <c r="Q4" s="112">
        <f>'2020 Pay Chart'!Q4+(0.02*'2020 Pay Chart'!Q4)</f>
        <v>15395.165999999999</v>
      </c>
      <c r="R4" s="112">
        <f>'2020 Pay Chart'!R4+(0.02*'2020 Pay Chart'!R4)</f>
        <v>15780.725999999999</v>
      </c>
      <c r="S4" s="112">
        <f>'2020 Pay Chart'!S4+(0.02*'2020 Pay Chart'!S4)</f>
        <v>15780.725999999999</v>
      </c>
      <c r="T4" s="112">
        <f>'2020 Pay Chart'!T4+(0.02*'2020 Pay Chart'!T4)</f>
        <v>16174.547999999999</v>
      </c>
      <c r="U4" s="112">
        <f>'2020 Pay Chart'!U4+(0.02*'2020 Pay Chart'!U4)</f>
        <v>16174.547999999999</v>
      </c>
      <c r="V4" s="112">
        <f>'2020 Pay Chart'!V4+(0.02*'2020 Pay Chart'!V4)</f>
        <v>16174.547999999999</v>
      </c>
      <c r="W4" s="112">
        <f>'2020 Pay Chart'!W4+(0.02*'2020 Pay Chart'!W4)</f>
        <v>16174.547999999999</v>
      </c>
    </row>
    <row r="5" spans="1:23" ht="15.75" thickBot="1" x14ac:dyDescent="0.3">
      <c r="A5" s="12" t="s">
        <v>51</v>
      </c>
      <c r="B5" s="112">
        <f>'2020 Pay Chart'!B5+(0.02*'2020 Pay Chart'!B5)</f>
        <v>9322.902</v>
      </c>
      <c r="C5" s="112">
        <f>'2020 Pay Chart'!C5+(0.02*'2020 Pay Chart'!C5)</f>
        <v>9755.8919999999998</v>
      </c>
      <c r="D5" s="112">
        <f>'2020 Pay Chart'!D5+(0.02*'2020 Pay Chart'!D5)</f>
        <v>9956.3220000000001</v>
      </c>
      <c r="E5" s="112">
        <f>'2020 Pay Chart'!E5+(0.02*'2020 Pay Chart'!E5)</f>
        <v>10115.748</v>
      </c>
      <c r="F5" s="112">
        <f>'2020 Pay Chart'!F5+(0.02*'2020 Pay Chart'!F5)</f>
        <v>10404</v>
      </c>
      <c r="G5" s="112">
        <f>'2020 Pay Chart'!G5+(0.02*'2020 Pay Chart'!G5)</f>
        <v>10689.192000000001</v>
      </c>
      <c r="H5" s="112">
        <f>'2020 Pay Chart'!H5+(0.02*'2020 Pay Chart'!H5)</f>
        <v>11018.754000000001</v>
      </c>
      <c r="I5" s="112">
        <f>'2020 Pay Chart'!I5+(0.02*'2020 Pay Chart'!I5)</f>
        <v>11347.092000000001</v>
      </c>
      <c r="J5" s="112">
        <f>'2020 Pay Chart'!J5+(0.02*'2020 Pay Chart'!J5)</f>
        <v>11676.654</v>
      </c>
      <c r="K5" s="112">
        <f>'2020 Pay Chart'!K5+(0.02*'2020 Pay Chart'!K5)</f>
        <v>12712.157999999999</v>
      </c>
      <c r="L5" s="112">
        <f>'2020 Pay Chart'!L5+(0.02*'2020 Pay Chart'!L5)</f>
        <v>13586.094000000001</v>
      </c>
      <c r="M5" s="112">
        <f>'2020 Pay Chart'!M5+(0.02*'2020 Pay Chart'!M5)</f>
        <v>13586.094000000001</v>
      </c>
      <c r="N5" s="112">
        <f>'2020 Pay Chart'!N5+(0.02*'2020 Pay Chart'!N5)</f>
        <v>13586.094000000001</v>
      </c>
      <c r="O5" s="112">
        <f>'2020 Pay Chart'!O5+(0.02*'2020 Pay Chart'!O5)</f>
        <v>13586.094000000001</v>
      </c>
      <c r="P5" s="112">
        <f>'2020 Pay Chart'!P5+(0.02*'2020 Pay Chart'!P5)</f>
        <v>13655.862000000001</v>
      </c>
      <c r="Q5" s="112">
        <f>'2020 Pay Chart'!Q5+(0.02*'2020 Pay Chart'!Q5)</f>
        <v>13655.862000000001</v>
      </c>
      <c r="R5" s="112">
        <f>'2020 Pay Chart'!R5+(0.02*'2020 Pay Chart'!R5)</f>
        <v>13929.12</v>
      </c>
      <c r="S5" s="112">
        <f>'2020 Pay Chart'!S5+(0.02*'2020 Pay Chart'!S5)</f>
        <v>13929.12</v>
      </c>
      <c r="T5" s="112">
        <f>'2020 Pay Chart'!T5+(0.02*'2020 Pay Chart'!T5)</f>
        <v>13929.12</v>
      </c>
      <c r="U5" s="112">
        <f>'2020 Pay Chart'!U5+(0.02*'2020 Pay Chart'!U5)</f>
        <v>13929.12</v>
      </c>
      <c r="V5" s="112">
        <f>'2020 Pay Chart'!V5+(0.02*'2020 Pay Chart'!V5)</f>
        <v>13929.12</v>
      </c>
      <c r="W5" s="112">
        <f>'2020 Pay Chart'!W5+(0.02*'2020 Pay Chart'!W5)</f>
        <v>13929.12</v>
      </c>
    </row>
    <row r="6" spans="1:23" ht="15.75" thickBot="1" x14ac:dyDescent="0.3">
      <c r="A6" s="12" t="s">
        <v>52</v>
      </c>
      <c r="B6" s="112">
        <f>'2020 Pay Chart'!B6+(0.02*'2020 Pay Chart'!B6)</f>
        <v>7069.8239999999996</v>
      </c>
      <c r="C6" s="112">
        <f>'2020 Pay Chart'!C6+(0.02*'2020 Pay Chart'!C6)</f>
        <v>7766.8920000000007</v>
      </c>
      <c r="D6" s="112">
        <f>'2020 Pay Chart'!D6+(0.02*'2020 Pay Chart'!D6)</f>
        <v>8276.6880000000001</v>
      </c>
      <c r="E6" s="112">
        <f>'2020 Pay Chart'!E6+(0.02*'2020 Pay Chart'!E6)</f>
        <v>8276.6880000000001</v>
      </c>
      <c r="F6" s="112">
        <f>'2020 Pay Chart'!F6+(0.02*'2020 Pay Chart'!F6)</f>
        <v>8308.2060000000001</v>
      </c>
      <c r="G6" s="112">
        <f>'2020 Pay Chart'!G6+(0.02*'2020 Pay Chart'!G6)</f>
        <v>8664.39</v>
      </c>
      <c r="H6" s="112">
        <f>'2020 Pay Chart'!H6+(0.02*'2020 Pay Chart'!H6)</f>
        <v>8711.514000000001</v>
      </c>
      <c r="I6" s="112">
        <f>'2020 Pay Chart'!I6+(0.02*'2020 Pay Chart'!I6)</f>
        <v>8711.514000000001</v>
      </c>
      <c r="J6" s="112">
        <f>'2020 Pay Chart'!J6+(0.02*'2020 Pay Chart'!J6)</f>
        <v>9206.3159999999989</v>
      </c>
      <c r="K6" s="112">
        <f>'2020 Pay Chart'!K6+(0.02*'2020 Pay Chart'!K6)</f>
        <v>10081.782000000001</v>
      </c>
      <c r="L6" s="112">
        <f>'2020 Pay Chart'!L6+(0.02*'2020 Pay Chart'!L6)</f>
        <v>10595.25</v>
      </c>
      <c r="M6" s="112">
        <f>'2020 Pay Chart'!M6+(0.02*'2020 Pay Chart'!M6)</f>
        <v>11108.717999999999</v>
      </c>
      <c r="N6" s="112">
        <f>'2020 Pay Chart'!N6+(0.02*'2020 Pay Chart'!N6)</f>
        <v>11400.948</v>
      </c>
      <c r="O6" s="112">
        <f>'2020 Pay Chart'!O6+(0.02*'2020 Pay Chart'!O6)</f>
        <v>11697.155999999999</v>
      </c>
      <c r="P6" s="112">
        <f>'2020 Pay Chart'!P6+(0.02*'2020 Pay Chart'!P6)</f>
        <v>12270.6</v>
      </c>
      <c r="Q6" s="112">
        <f>'2020 Pay Chart'!Q6+(0.02*'2020 Pay Chart'!Q6)</f>
        <v>12270.6</v>
      </c>
      <c r="R6" s="112">
        <f>'2020 Pay Chart'!R6+(0.02*'2020 Pay Chart'!R6)</f>
        <v>12515.706</v>
      </c>
      <c r="S6" s="112">
        <f>'2020 Pay Chart'!S6+(0.02*'2020 Pay Chart'!S6)</f>
        <v>12515.706</v>
      </c>
      <c r="T6" s="112">
        <f>'2020 Pay Chart'!T6+(0.02*'2020 Pay Chart'!T6)</f>
        <v>12515.706</v>
      </c>
      <c r="U6" s="112">
        <f>'2020 Pay Chart'!U6+(0.02*'2020 Pay Chart'!U6)</f>
        <v>12515.706</v>
      </c>
      <c r="V6" s="112">
        <f>'2020 Pay Chart'!V6+(0.02*'2020 Pay Chart'!V6)</f>
        <v>12515.706</v>
      </c>
      <c r="W6" s="112">
        <f>'2020 Pay Chart'!W6+(0.02*'2020 Pay Chart'!W6)</f>
        <v>12515.706</v>
      </c>
    </row>
    <row r="7" spans="1:23" ht="15.75" thickBot="1" x14ac:dyDescent="0.3">
      <c r="A7" s="12" t="s">
        <v>33</v>
      </c>
      <c r="B7" s="112">
        <f>'2020 Pay Chart'!B7+(0.02*'2020 Pay Chart'!B7)</f>
        <v>5893.56</v>
      </c>
      <c r="C7" s="112">
        <f>'2020 Pay Chart'!C7+(0.02*'2020 Pay Chart'!C7)</f>
        <v>6639.2820000000002</v>
      </c>
      <c r="D7" s="112">
        <f>'2020 Pay Chart'!D7+(0.02*'2020 Pay Chart'!D7)</f>
        <v>7098.5879999999997</v>
      </c>
      <c r="E7" s="112">
        <f>'2020 Pay Chart'!E7+(0.02*'2020 Pay Chart'!E7)</f>
        <v>7185.1860000000006</v>
      </c>
      <c r="F7" s="112">
        <f>'2020 Pay Chart'!F7+(0.02*'2020 Pay Chart'!F7)</f>
        <v>7472.2139999999999</v>
      </c>
      <c r="G7" s="112">
        <f>'2020 Pay Chart'!G7+(0.02*'2020 Pay Chart'!G7)</f>
        <v>7643.5739999999996</v>
      </c>
      <c r="H7" s="112">
        <f>'2020 Pay Chart'!H7+(0.02*'2020 Pay Chart'!H7)</f>
        <v>8020.8720000000003</v>
      </c>
      <c r="I7" s="112">
        <f>'2020 Pay Chart'!I7+(0.02*'2020 Pay Chart'!I7)</f>
        <v>8298.1080000000002</v>
      </c>
      <c r="J7" s="112">
        <f>'2020 Pay Chart'!J7+(0.02*'2020 Pay Chart'!J7)</f>
        <v>8655.8220000000001</v>
      </c>
      <c r="K7" s="112">
        <f>'2020 Pay Chart'!K7+(0.02*'2020 Pay Chart'!K7)</f>
        <v>9202.9500000000007</v>
      </c>
      <c r="L7" s="112">
        <f>'2020 Pay Chart'!L7+(0.02*'2020 Pay Chart'!L7)</f>
        <v>9463.0499999999993</v>
      </c>
      <c r="M7" s="112">
        <f>'2020 Pay Chart'!M7+(0.02*'2020 Pay Chart'!M7)</f>
        <v>9720.7020000000011</v>
      </c>
      <c r="N7" s="112">
        <f>'2020 Pay Chart'!N7+(0.02*'2020 Pay Chart'!N7)</f>
        <v>10012.932000000001</v>
      </c>
      <c r="O7" s="112">
        <f>'2020 Pay Chart'!O7+(0.02*'2020 Pay Chart'!O7)</f>
        <v>10012.932000000001</v>
      </c>
      <c r="P7" s="112">
        <f>'2020 Pay Chart'!P7+(0.02*'2020 Pay Chart'!P7)</f>
        <v>10012.932000000001</v>
      </c>
      <c r="Q7" s="112">
        <f>'2020 Pay Chart'!Q7+(0.02*'2020 Pay Chart'!Q7)</f>
        <v>10012.932000000001</v>
      </c>
      <c r="R7" s="112">
        <f>'2020 Pay Chart'!R7+(0.02*'2020 Pay Chart'!R7)</f>
        <v>10012.932000000001</v>
      </c>
      <c r="S7" s="112">
        <f>'2020 Pay Chart'!S7+(0.02*'2020 Pay Chart'!S7)</f>
        <v>10012.932000000001</v>
      </c>
      <c r="T7" s="112">
        <f>'2020 Pay Chart'!T7+(0.02*'2020 Pay Chart'!T7)</f>
        <v>10012.932000000001</v>
      </c>
      <c r="U7" s="112">
        <f>'2020 Pay Chart'!U7+(0.02*'2020 Pay Chart'!U7)</f>
        <v>10012.932000000001</v>
      </c>
      <c r="V7" s="112">
        <f>'2020 Pay Chart'!V7+(0.02*'2020 Pay Chart'!V7)</f>
        <v>10012.932000000001</v>
      </c>
      <c r="W7" s="112">
        <f>'2020 Pay Chart'!W7+(0.02*'2020 Pay Chart'!W7)</f>
        <v>10012.932000000001</v>
      </c>
    </row>
    <row r="8" spans="1:23" ht="15.75" thickBot="1" x14ac:dyDescent="0.3">
      <c r="A8" s="12" t="s">
        <v>34</v>
      </c>
      <c r="B8" s="112">
        <f>'2020 Pay Chart'!B8+(0.02*'2020 Pay Chart'!B8)</f>
        <v>5085.1079999999993</v>
      </c>
      <c r="C8" s="112">
        <f>'2020 Pay Chart'!C8+(0.02*'2020 Pay Chart'!C8)</f>
        <v>5886.2160000000003</v>
      </c>
      <c r="D8" s="112">
        <f>'2020 Pay Chart'!D8+(0.02*'2020 Pay Chart'!D8)</f>
        <v>6279.4260000000004</v>
      </c>
      <c r="E8" s="112">
        <f>'2020 Pay Chart'!E8+(0.02*'2020 Pay Chart'!E8)</f>
        <v>6366.6360000000004</v>
      </c>
      <c r="F8" s="112">
        <f>'2020 Pay Chart'!F8+(0.02*'2020 Pay Chart'!F8)</f>
        <v>6731.0820000000003</v>
      </c>
      <c r="G8" s="112">
        <f>'2020 Pay Chart'!G8+(0.02*'2020 Pay Chart'!G8)</f>
        <v>7122.4560000000001</v>
      </c>
      <c r="H8" s="112">
        <f>'2020 Pay Chart'!H8+(0.02*'2020 Pay Chart'!H8)</f>
        <v>7609.6079999999993</v>
      </c>
      <c r="I8" s="112">
        <f>'2020 Pay Chart'!I8+(0.02*'2020 Pay Chart'!I8)</f>
        <v>7988.4360000000006</v>
      </c>
      <c r="J8" s="112">
        <f>'2020 Pay Chart'!J8+(0.02*'2020 Pay Chart'!J8)</f>
        <v>8251.5959999999995</v>
      </c>
      <c r="K8" s="112">
        <f>'2020 Pay Chart'!K8+(0.02*'2020 Pay Chart'!K8)</f>
        <v>8403.0659999999989</v>
      </c>
      <c r="L8" s="112">
        <f>'2020 Pay Chart'!L8+(0.02*'2020 Pay Chart'!L8)</f>
        <v>8490.5820000000003</v>
      </c>
      <c r="M8" s="112">
        <f>'2020 Pay Chart'!M8+(0.02*'2020 Pay Chart'!M8)</f>
        <v>8490.5820000000003</v>
      </c>
      <c r="N8" s="112">
        <f>'2020 Pay Chart'!N8+(0.02*'2020 Pay Chart'!N8)</f>
        <v>8490.5820000000003</v>
      </c>
      <c r="O8" s="112">
        <f>'2020 Pay Chart'!O8+(0.02*'2020 Pay Chart'!O8)</f>
        <v>8490.5820000000003</v>
      </c>
      <c r="P8" s="112">
        <f>'2020 Pay Chart'!P8+(0.02*'2020 Pay Chart'!P8)</f>
        <v>8490.5820000000003</v>
      </c>
      <c r="Q8" s="112">
        <f>'2020 Pay Chart'!Q8+(0.02*'2020 Pay Chart'!Q8)</f>
        <v>8490.5820000000003</v>
      </c>
      <c r="R8" s="112">
        <f>'2020 Pay Chart'!R8+(0.02*'2020 Pay Chart'!R8)</f>
        <v>8490.5820000000003</v>
      </c>
      <c r="S8" s="112">
        <f>'2020 Pay Chart'!S8+(0.02*'2020 Pay Chart'!S8)</f>
        <v>8490.5820000000003</v>
      </c>
      <c r="T8" s="112">
        <f>'2020 Pay Chart'!T8+(0.02*'2020 Pay Chart'!T8)</f>
        <v>8490.5820000000003</v>
      </c>
      <c r="U8" s="112">
        <f>'2020 Pay Chart'!U8+(0.02*'2020 Pay Chart'!U8)</f>
        <v>8490.5820000000003</v>
      </c>
      <c r="V8" s="112">
        <f>'2020 Pay Chart'!V8+(0.02*'2020 Pay Chart'!V8)</f>
        <v>8490.5820000000003</v>
      </c>
      <c r="W8" s="112">
        <f>'2020 Pay Chart'!W8+(0.02*'2020 Pay Chart'!W8)</f>
        <v>8490.5820000000003</v>
      </c>
    </row>
    <row r="9" spans="1:23" ht="15.75" thickBot="1" x14ac:dyDescent="0.3">
      <c r="A9" s="12" t="s">
        <v>53</v>
      </c>
      <c r="B9" s="112">
        <f>'2020 Pay Chart'!B9+(0.02*'2020 Pay Chart'!B9)</f>
        <v>4470.9660000000003</v>
      </c>
      <c r="C9" s="112">
        <f>'2020 Pay Chart'!C9+(0.02*'2020 Pay Chart'!C9)</f>
        <v>5067.9720000000007</v>
      </c>
      <c r="D9" s="112">
        <f>'2020 Pay Chart'!D9+(0.02*'2020 Pay Chart'!D9)</f>
        <v>5469.75</v>
      </c>
      <c r="E9" s="112">
        <f>'2020 Pay Chart'!E9+(0.02*'2020 Pay Chart'!E9)</f>
        <v>5964.2460000000001</v>
      </c>
      <c r="F9" s="112">
        <f>'2020 Pay Chart'!F9+(0.02*'2020 Pay Chart'!F9)</f>
        <v>6250.3559999999998</v>
      </c>
      <c r="G9" s="112">
        <f>'2020 Pay Chart'!G9+(0.02*'2020 Pay Chart'!G9)</f>
        <v>6563.7</v>
      </c>
      <c r="H9" s="112">
        <f>'2020 Pay Chart'!H9+(0.02*'2020 Pay Chart'!H9)</f>
        <v>6766.5779999999995</v>
      </c>
      <c r="I9" s="112">
        <f>'2020 Pay Chart'!I9+(0.02*'2020 Pay Chart'!I9)</f>
        <v>7099.8120000000008</v>
      </c>
      <c r="J9" s="112">
        <f>'2020 Pay Chart'!J9+(0.02*'2020 Pay Chart'!J9)</f>
        <v>7273.9260000000004</v>
      </c>
      <c r="K9" s="112">
        <f>'2020 Pay Chart'!K9+(0.02*'2020 Pay Chart'!K9)</f>
        <v>7273.9260000000004</v>
      </c>
      <c r="L9" s="112">
        <f>'2020 Pay Chart'!L9+(0.02*'2020 Pay Chart'!L9)</f>
        <v>7273.9260000000004</v>
      </c>
      <c r="M9" s="112">
        <f>'2020 Pay Chart'!M9+(0.02*'2020 Pay Chart'!M9)</f>
        <v>7273.9260000000004</v>
      </c>
      <c r="N9" s="112">
        <f>'2020 Pay Chart'!N9+(0.02*'2020 Pay Chart'!N9)</f>
        <v>7273.9260000000004</v>
      </c>
      <c r="O9" s="112">
        <f>'2020 Pay Chart'!O9+(0.02*'2020 Pay Chart'!O9)</f>
        <v>7273.9260000000004</v>
      </c>
      <c r="P9" s="112">
        <f>'2020 Pay Chart'!P9+(0.02*'2020 Pay Chart'!P9)</f>
        <v>7273.9260000000004</v>
      </c>
      <c r="Q9" s="112">
        <f>'2020 Pay Chart'!Q9+(0.02*'2020 Pay Chart'!Q9)</f>
        <v>7273.9260000000004</v>
      </c>
      <c r="R9" s="112">
        <f>'2020 Pay Chart'!R9+(0.02*'2020 Pay Chart'!R9)</f>
        <v>7273.9260000000004</v>
      </c>
      <c r="S9" s="112">
        <f>'2020 Pay Chart'!S9+(0.02*'2020 Pay Chart'!S9)</f>
        <v>7273.9260000000004</v>
      </c>
      <c r="T9" s="112">
        <f>'2020 Pay Chart'!T9+(0.02*'2020 Pay Chart'!T9)</f>
        <v>7273.9260000000004</v>
      </c>
      <c r="U9" s="112">
        <f>'2020 Pay Chart'!U9+(0.02*'2020 Pay Chart'!U9)</f>
        <v>7273.9260000000004</v>
      </c>
      <c r="V9" s="112">
        <f>'2020 Pay Chart'!V9+(0.02*'2020 Pay Chart'!V9)</f>
        <v>7273.9260000000004</v>
      </c>
      <c r="W9" s="112">
        <f>'2020 Pay Chart'!W9+(0.02*'2020 Pay Chart'!W9)</f>
        <v>7273.9260000000004</v>
      </c>
    </row>
    <row r="10" spans="1:23" ht="15.75" thickBot="1" x14ac:dyDescent="0.3">
      <c r="A10" s="12" t="s">
        <v>54</v>
      </c>
      <c r="B10" s="112">
        <f>'2020 Pay Chart'!B10+(0.02*'2020 Pay Chart'!B10)</f>
        <v>3863.25</v>
      </c>
      <c r="C10" s="112">
        <f>'2020 Pay Chart'!C10+(0.02*'2020 Pay Chart'!C10)</f>
        <v>4399.6679999999997</v>
      </c>
      <c r="D10" s="112">
        <f>'2020 Pay Chart'!D10+(0.02*'2020 Pay Chart'!D10)</f>
        <v>5067.0540000000001</v>
      </c>
      <c r="E10" s="112">
        <f>'2020 Pay Chart'!E10+(0.02*'2020 Pay Chart'!E10)</f>
        <v>5238.4139999999998</v>
      </c>
      <c r="F10" s="112">
        <f>'2020 Pay Chart'!F10+(0.02*'2020 Pay Chart'!F10)</f>
        <v>5346.1260000000002</v>
      </c>
      <c r="G10" s="112">
        <f>'2020 Pay Chart'!G10+(0.02*'2020 Pay Chart'!G10)</f>
        <v>5346.1260000000002</v>
      </c>
      <c r="H10" s="112">
        <f>'2020 Pay Chart'!H10+(0.02*'2020 Pay Chart'!H10)</f>
        <v>5346.1260000000002</v>
      </c>
      <c r="I10" s="112">
        <f>'2020 Pay Chart'!I10+(0.02*'2020 Pay Chart'!I10)</f>
        <v>5346.1260000000002</v>
      </c>
      <c r="J10" s="112">
        <f>'2020 Pay Chart'!J10+(0.02*'2020 Pay Chart'!J10)</f>
        <v>5346.1260000000002</v>
      </c>
      <c r="K10" s="112">
        <f>'2020 Pay Chart'!K10+(0.02*'2020 Pay Chart'!K10)</f>
        <v>5346.1260000000002</v>
      </c>
      <c r="L10" s="112">
        <f>'2020 Pay Chart'!L10+(0.02*'2020 Pay Chart'!L10)</f>
        <v>5346.1260000000002</v>
      </c>
      <c r="M10" s="112">
        <f>'2020 Pay Chart'!M10+(0.02*'2020 Pay Chart'!M10)</f>
        <v>5346.1260000000002</v>
      </c>
      <c r="N10" s="112">
        <f>'2020 Pay Chart'!N10+(0.02*'2020 Pay Chart'!N10)</f>
        <v>5346.1260000000002</v>
      </c>
      <c r="O10" s="112">
        <f>'2020 Pay Chart'!O10+(0.02*'2020 Pay Chart'!O10)</f>
        <v>5346.1260000000002</v>
      </c>
      <c r="P10" s="112">
        <f>'2020 Pay Chart'!P10+(0.02*'2020 Pay Chart'!P10)</f>
        <v>5346.1260000000002</v>
      </c>
      <c r="Q10" s="112">
        <f>'2020 Pay Chart'!Q10+(0.02*'2020 Pay Chart'!Q10)</f>
        <v>5346.1260000000002</v>
      </c>
      <c r="R10" s="112">
        <f>'2020 Pay Chart'!R10+(0.02*'2020 Pay Chart'!R10)</f>
        <v>5346.1260000000002</v>
      </c>
      <c r="S10" s="112">
        <f>'2020 Pay Chart'!S10+(0.02*'2020 Pay Chart'!S10)</f>
        <v>5346.1260000000002</v>
      </c>
      <c r="T10" s="112">
        <f>'2020 Pay Chart'!T10+(0.02*'2020 Pay Chart'!T10)</f>
        <v>5346.1260000000002</v>
      </c>
      <c r="U10" s="112">
        <f>'2020 Pay Chart'!U10+(0.02*'2020 Pay Chart'!U10)</f>
        <v>5346.1260000000002</v>
      </c>
      <c r="V10" s="112">
        <f>'2020 Pay Chart'!V10+(0.02*'2020 Pay Chart'!V10)</f>
        <v>5346.1260000000002</v>
      </c>
      <c r="W10" s="112">
        <f>'2020 Pay Chart'!W10+(0.02*'2020 Pay Chart'!W10)</f>
        <v>5346.1260000000002</v>
      </c>
    </row>
    <row r="11" spans="1:23" ht="15.75" thickBot="1" x14ac:dyDescent="0.3">
      <c r="A11" s="12" t="s">
        <v>55</v>
      </c>
      <c r="B11" s="112">
        <f>'2020 Pay Chart'!B11+(0.02*'2020 Pay Chart'!B11)</f>
        <v>3352.8420000000001</v>
      </c>
      <c r="C11" s="112">
        <f>'2020 Pay Chart'!C11+(0.02*'2020 Pay Chart'!C11)</f>
        <v>3490.2360000000003</v>
      </c>
      <c r="D11" s="112">
        <f>'2020 Pay Chart'!D11+(0.02*'2020 Pay Chart'!D11)</f>
        <v>4219.1279999999997</v>
      </c>
      <c r="E11" s="112">
        <f>'2020 Pay Chart'!E11+(0.02*'2020 Pay Chart'!E11)</f>
        <v>4219.1279999999997</v>
      </c>
      <c r="F11" s="112">
        <f>'2020 Pay Chart'!F11+(0.02*'2020 Pay Chart'!F11)</f>
        <v>4219.1279999999997</v>
      </c>
      <c r="G11" s="112">
        <f>'2020 Pay Chart'!G11+(0.02*'2020 Pay Chart'!G11)</f>
        <v>4219.1279999999997</v>
      </c>
      <c r="H11" s="112">
        <f>'2020 Pay Chart'!H11+(0.02*'2020 Pay Chart'!H11)</f>
        <v>4219.1279999999997</v>
      </c>
      <c r="I11" s="112">
        <f>'2020 Pay Chart'!I11+(0.02*'2020 Pay Chart'!I11)</f>
        <v>4219.1279999999997</v>
      </c>
      <c r="J11" s="112">
        <f>'2020 Pay Chart'!J11+(0.02*'2020 Pay Chart'!J11)</f>
        <v>4219.1279999999997</v>
      </c>
      <c r="K11" s="112">
        <f>'2020 Pay Chart'!K11+(0.02*'2020 Pay Chart'!K11)</f>
        <v>4219.1279999999997</v>
      </c>
      <c r="L11" s="112">
        <f>'2020 Pay Chart'!L11+(0.02*'2020 Pay Chart'!L11)</f>
        <v>4219.1279999999997</v>
      </c>
      <c r="M11" s="112">
        <f>'2020 Pay Chart'!M11+(0.02*'2020 Pay Chart'!M11)</f>
        <v>4219.1279999999997</v>
      </c>
      <c r="N11" s="112">
        <f>'2020 Pay Chart'!N11+(0.02*'2020 Pay Chart'!N11)</f>
        <v>4219.1279999999997</v>
      </c>
      <c r="O11" s="112">
        <f>'2020 Pay Chart'!O11+(0.02*'2020 Pay Chart'!O11)</f>
        <v>4219.1279999999997</v>
      </c>
      <c r="P11" s="112">
        <f>'2020 Pay Chart'!P11+(0.02*'2020 Pay Chart'!P11)</f>
        <v>4219.1279999999997</v>
      </c>
      <c r="Q11" s="112">
        <f>'2020 Pay Chart'!Q11+(0.02*'2020 Pay Chart'!Q11)</f>
        <v>4219.1279999999997</v>
      </c>
      <c r="R11" s="112">
        <f>'2020 Pay Chart'!R11+(0.02*'2020 Pay Chart'!R11)</f>
        <v>4219.1279999999997</v>
      </c>
      <c r="S11" s="112">
        <f>'2020 Pay Chart'!S11+(0.02*'2020 Pay Chart'!S11)</f>
        <v>4219.1279999999997</v>
      </c>
      <c r="T11" s="112">
        <f>'2020 Pay Chart'!T11+(0.02*'2020 Pay Chart'!T11)</f>
        <v>4219.1279999999997</v>
      </c>
      <c r="U11" s="112">
        <f>'2020 Pay Chart'!U11+(0.02*'2020 Pay Chart'!U11)</f>
        <v>4219.1279999999997</v>
      </c>
      <c r="V11" s="112">
        <f>'2020 Pay Chart'!V11+(0.02*'2020 Pay Chart'!V11)</f>
        <v>4219.1279999999997</v>
      </c>
      <c r="W11" s="112">
        <f>'2020 Pay Chart'!W11+(0.02*'2020 Pay Chart'!W11)</f>
        <v>4219.1279999999997</v>
      </c>
    </row>
    <row r="12" spans="1:23" ht="15.75" thickBot="1" x14ac:dyDescent="0.3">
      <c r="A12" s="14" t="s">
        <v>35</v>
      </c>
      <c r="B12" s="112">
        <f>'2020 Pay Chart'!B12+(0.02*'2020 Pay Chart'!B12)</f>
        <v>8215.7939999999999</v>
      </c>
      <c r="C12" s="112">
        <f>'2020 Pay Chart'!C12+(0.02*'2020 Pay Chart'!C12)</f>
        <v>8215.7939999999999</v>
      </c>
      <c r="D12" s="112">
        <f>'2020 Pay Chart'!D12+(0.02*'2020 Pay Chart'!D12)</f>
        <v>8215.7939999999999</v>
      </c>
      <c r="E12" s="112">
        <f>'2020 Pay Chart'!E12+(0.02*'2020 Pay Chart'!E12)</f>
        <v>8215.7939999999999</v>
      </c>
      <c r="F12" s="112">
        <f>'2020 Pay Chart'!F12+(0.02*'2020 Pay Chart'!F12)</f>
        <v>8215.7939999999999</v>
      </c>
      <c r="G12" s="112">
        <f>'2020 Pay Chart'!G12+(0.02*'2020 Pay Chart'!G12)</f>
        <v>8215.7939999999999</v>
      </c>
      <c r="H12" s="112">
        <f>'2020 Pay Chart'!H12+(0.02*'2020 Pay Chart'!H12)</f>
        <v>8215.7939999999999</v>
      </c>
      <c r="I12" s="112">
        <f>'2020 Pay Chart'!I12+(0.02*'2020 Pay Chart'!I12)</f>
        <v>8215.7939999999999</v>
      </c>
      <c r="J12" s="112">
        <f>'2020 Pay Chart'!J12+(0.02*'2020 Pay Chart'!J12)</f>
        <v>8215.7939999999999</v>
      </c>
      <c r="K12" s="112">
        <f>'2020 Pay Chart'!K12+(0.02*'2020 Pay Chart'!K12)</f>
        <v>8215.7939999999999</v>
      </c>
      <c r="L12" s="112">
        <f>'2020 Pay Chart'!L12+(0.02*'2020 Pay Chart'!L12)</f>
        <v>8215.7939999999999</v>
      </c>
      <c r="M12" s="112">
        <f>'2020 Pay Chart'!M12+(0.02*'2020 Pay Chart'!M12)</f>
        <v>8215.7939999999999</v>
      </c>
      <c r="N12" s="112">
        <f>'2020 Pay Chart'!N12+(0.02*'2020 Pay Chart'!N12)</f>
        <v>8632.26</v>
      </c>
      <c r="O12" s="112">
        <f>'2020 Pay Chart'!O12+(0.02*'2020 Pay Chart'!O12)</f>
        <v>8942.85</v>
      </c>
      <c r="P12" s="112">
        <f>'2020 Pay Chart'!P12+(0.02*'2020 Pay Chart'!P12)</f>
        <v>9286.1820000000007</v>
      </c>
      <c r="Q12" s="112">
        <f>'2020 Pay Chart'!Q12+(0.02*'2020 Pay Chart'!Q12)</f>
        <v>9286.1820000000007</v>
      </c>
      <c r="R12" s="112">
        <f>'2020 Pay Chart'!R12+(0.02*'2020 Pay Chart'!R12)</f>
        <v>9751.3019999999997</v>
      </c>
      <c r="S12" s="112">
        <f>'2020 Pay Chart'!S12+(0.02*'2020 Pay Chart'!S12)</f>
        <v>9751.3019999999997</v>
      </c>
      <c r="T12" s="112">
        <f>'2020 Pay Chart'!T12+(0.02*'2020 Pay Chart'!T12)</f>
        <v>10238.147999999999</v>
      </c>
      <c r="U12" s="112">
        <f>'2020 Pay Chart'!U12+(0.02*'2020 Pay Chart'!U12)</f>
        <v>10238.147999999999</v>
      </c>
      <c r="V12" s="112">
        <f>'2020 Pay Chart'!V12+(0.02*'2020 Pay Chart'!V12)</f>
        <v>10751.004000000001</v>
      </c>
      <c r="W12" s="112">
        <f>'2020 Pay Chart'!W12+(0.02*'2020 Pay Chart'!W12)</f>
        <v>10751.004000000001</v>
      </c>
    </row>
    <row r="13" spans="1:23" ht="15.75" thickBot="1" x14ac:dyDescent="0.3">
      <c r="A13" s="14" t="s">
        <v>36</v>
      </c>
      <c r="B13" s="112">
        <f>'2020 Pay Chart'!B13+(0.02 * '2020 Pay Chart'!B13)</f>
        <v>4620.6000000000004</v>
      </c>
      <c r="C13" s="112">
        <f>'2020 Pay Chart'!C13+(0.02*'2020 Pay Chart'!C13)</f>
        <v>4970.0520000000006</v>
      </c>
      <c r="D13" s="112">
        <f>'2020 Pay Chart'!D13+(0.02*'2020 Pay Chart'!D13)</f>
        <v>5112.6479999999992</v>
      </c>
      <c r="E13" s="112">
        <f>'2020 Pay Chart'!E13+(0.02*'2020 Pay Chart'!E13)</f>
        <v>5253.1020000000008</v>
      </c>
      <c r="F13" s="112">
        <f>'2020 Pay Chart'!F13+(0.02*'2020 Pay Chart'!F13)</f>
        <v>5494.8420000000006</v>
      </c>
      <c r="G13" s="112">
        <f>'2020 Pay Chart'!G13+(0.02*'2020 Pay Chart'!G13)</f>
        <v>5734.134</v>
      </c>
      <c r="H13" s="112">
        <f>'2020 Pay Chart'!H13+(0.02*'2020 Pay Chart'!H13)</f>
        <v>5976.4859999999999</v>
      </c>
      <c r="I13" s="112">
        <f>'2020 Pay Chart'!I13+(0.02*'2020 Pay Chart'!I13)</f>
        <v>6340.32</v>
      </c>
      <c r="J13" s="112">
        <f>'2020 Pay Chart'!J13+(0.02*'2020 Pay Chart'!J13)</f>
        <v>6659.7839999999997</v>
      </c>
      <c r="K13" s="112">
        <f>'2020 Pay Chart'!K13+(0.02*'2020 Pay Chart'!K13)</f>
        <v>6963.6420000000007</v>
      </c>
      <c r="L13" s="112">
        <f>'2020 Pay Chart'!L13+(0.02*'2020 Pay Chart'!L13)</f>
        <v>7212.7260000000006</v>
      </c>
      <c r="M13" s="112">
        <f>'2020 Pay Chart'!M13+(0.02*'2020 Pay Chart'!M13)</f>
        <v>7455.384</v>
      </c>
      <c r="N13" s="112">
        <f>'2020 Pay Chart'!N13+(0.02*'2020 Pay Chart'!N13)</f>
        <v>7811.5679999999993</v>
      </c>
      <c r="O13" s="112">
        <f>'2020 Pay Chart'!O13+(0.02*'2020 Pay Chart'!O13)</f>
        <v>8104.1039999999994</v>
      </c>
      <c r="P13" s="112">
        <f>'2020 Pay Chart'!P13+(0.02*'2020 Pay Chart'!P13)</f>
        <v>8438.2559999999994</v>
      </c>
      <c r="Q13" s="112">
        <f>'2020 Pay Chart'!Q13+(0.02*'2020 Pay Chart'!Q13)</f>
        <v>8438.2559999999994</v>
      </c>
      <c r="R13" s="112">
        <f>'2020 Pay Chart'!R13+(0.02*'2020 Pay Chart'!R13)</f>
        <v>8606.5559999999987</v>
      </c>
      <c r="S13" s="112">
        <f>'2020 Pay Chart'!S13+(0.02*'2020 Pay Chart'!S13)</f>
        <v>8606.5559999999987</v>
      </c>
      <c r="T13" s="112">
        <f>'2020 Pay Chart'!T13+(0.02*'2020 Pay Chart'!T13)</f>
        <v>8606.5559999999987</v>
      </c>
      <c r="U13" s="112">
        <f>'2020 Pay Chart'!U13+(0.02*'2020 Pay Chart'!U13)</f>
        <v>8606.5559999999987</v>
      </c>
      <c r="V13" s="112">
        <f>'2020 Pay Chart'!V13+(0.02*'2020 Pay Chart'!V13)</f>
        <v>8606.5559999999987</v>
      </c>
      <c r="W13" s="112">
        <f>'2020 Pay Chart'!W13+(0.02*'2020 Pay Chart'!W13)</f>
        <v>8606.5559999999987</v>
      </c>
    </row>
    <row r="14" spans="1:23" ht="15.75" thickBot="1" x14ac:dyDescent="0.3">
      <c r="A14" s="14" t="s">
        <v>37</v>
      </c>
      <c r="B14" s="112">
        <f>'2020 Pay Chart'!B14+(0.02*'2020 Pay Chart'!B14)</f>
        <v>4219.74</v>
      </c>
      <c r="C14" s="112">
        <f>'2020 Pay Chart'!C14+(0.02*'2020 Pay Chart'!C14)</f>
        <v>4395.384</v>
      </c>
      <c r="D14" s="112">
        <f>'2020 Pay Chart'!D14+(0.02*'2020 Pay Chart'!D14)</f>
        <v>4575.924</v>
      </c>
      <c r="E14" s="112">
        <f>'2020 Pay Chart'!E14+(0.02*'2020 Pay Chart'!E14)</f>
        <v>4634.982</v>
      </c>
      <c r="F14" s="112">
        <f>'2020 Pay Chart'!F14+(0.02*'2020 Pay Chart'!F14)</f>
        <v>4823.4780000000001</v>
      </c>
      <c r="G14" s="112">
        <f>'2020 Pay Chart'!G14+(0.02*'2020 Pay Chart'!G14)</f>
        <v>5195.5739999999996</v>
      </c>
      <c r="H14" s="112">
        <f>'2020 Pay Chart'!H14+(0.02*'2020 Pay Chart'!H14)</f>
        <v>5582.6639999999998</v>
      </c>
      <c r="I14" s="112">
        <f>'2020 Pay Chart'!I14+(0.02*'2020 Pay Chart'!I14)</f>
        <v>5765.04</v>
      </c>
      <c r="J14" s="112">
        <f>'2020 Pay Chart'!J14+(0.02*'2020 Pay Chart'!J14)</f>
        <v>5976.18</v>
      </c>
      <c r="K14" s="112">
        <f>'2020 Pay Chart'!K14+(0.02*'2020 Pay Chart'!K14)</f>
        <v>6193.134</v>
      </c>
      <c r="L14" s="112">
        <f>'2020 Pay Chart'!L14+(0.02*'2020 Pay Chart'!L14)</f>
        <v>6584.2020000000002</v>
      </c>
      <c r="M14" s="112">
        <f>'2020 Pay Chart'!M14+(0.02*'2020 Pay Chart'!M14)</f>
        <v>6847.9740000000002</v>
      </c>
      <c r="N14" s="112">
        <f>'2020 Pay Chart'!N14+(0.02*'2020 Pay Chart'!N14)</f>
        <v>7005.5639999999994</v>
      </c>
      <c r="O14" s="112">
        <f>'2020 Pay Chart'!O14+(0.02*'2020 Pay Chart'!O14)</f>
        <v>7173.2520000000004</v>
      </c>
      <c r="P14" s="112">
        <f>'2020 Pay Chart'!P14+(0.02*'2020 Pay Chart'!P14)</f>
        <v>7401.8339999999998</v>
      </c>
      <c r="Q14" s="112">
        <f>'2020 Pay Chart'!Q14+(0.02*'2020 Pay Chart'!Q14)</f>
        <v>7401.8339999999998</v>
      </c>
      <c r="R14" s="112">
        <f>'2020 Pay Chart'!R14+(0.02*'2020 Pay Chart'!R14)</f>
        <v>7401.8339999999998</v>
      </c>
      <c r="S14" s="112">
        <f>'2020 Pay Chart'!S14+(0.02*'2020 Pay Chart'!S14)</f>
        <v>7401.8339999999998</v>
      </c>
      <c r="T14" s="112">
        <f>'2020 Pay Chart'!T14+(0.02*'2020 Pay Chart'!T14)</f>
        <v>7401.8339999999998</v>
      </c>
      <c r="U14" s="112">
        <f>'2020 Pay Chart'!U14+(0.02*'2020 Pay Chart'!U14)</f>
        <v>7401.8339999999998</v>
      </c>
      <c r="V14" s="112">
        <f>'2020 Pay Chart'!V14+(0.02*'2020 Pay Chart'!V14)</f>
        <v>7401.8339999999998</v>
      </c>
      <c r="W14" s="112">
        <f>'2020 Pay Chart'!W14+(0.02*'2020 Pay Chart'!W14)</f>
        <v>7401.8339999999998</v>
      </c>
    </row>
    <row r="15" spans="1:23" ht="15.75" thickBot="1" x14ac:dyDescent="0.3">
      <c r="A15" s="14" t="s">
        <v>38</v>
      </c>
      <c r="B15" s="112">
        <f>'2020 Pay Chart'!B15+(0.02*'2020 Pay Chart'!B15)</f>
        <v>3733.8119999999999</v>
      </c>
      <c r="C15" s="112">
        <f>'2020 Pay Chart'!C15+(0.02*'2020 Pay Chart'!C15)</f>
        <v>4086.9360000000001</v>
      </c>
      <c r="D15" s="112">
        <f>'2020 Pay Chart'!D15+(0.02*'2020 Pay Chart'!D15)</f>
        <v>4195.5659999999998</v>
      </c>
      <c r="E15" s="112">
        <f>'2020 Pay Chart'!E15+(0.02*'2020 Pay Chart'!E15)</f>
        <v>4270.2299999999996</v>
      </c>
      <c r="F15" s="112">
        <f>'2020 Pay Chart'!F15+(0.02*'2020 Pay Chart'!F15)</f>
        <v>4512.2759999999998</v>
      </c>
      <c r="G15" s="112">
        <f>'2020 Pay Chart'!G15+(0.02*'2020 Pay Chart'!G15)</f>
        <v>4888.6559999999999</v>
      </c>
      <c r="H15" s="112">
        <f>'2020 Pay Chart'!H15+(0.02*'2020 Pay Chart'!H15)</f>
        <v>5075.3159999999998</v>
      </c>
      <c r="I15" s="112">
        <f>'2020 Pay Chart'!I15+(0.02*'2020 Pay Chart'!I15)</f>
        <v>5258.61</v>
      </c>
      <c r="J15" s="112">
        <f>'2020 Pay Chart'!J15+(0.02*'2020 Pay Chart'!J15)</f>
        <v>5483.2139999999999</v>
      </c>
      <c r="K15" s="112">
        <f>'2020 Pay Chart'!K15+(0.02*'2020 Pay Chart'!K15)</f>
        <v>5658.8579999999993</v>
      </c>
      <c r="L15" s="112">
        <f>'2020 Pay Chart'!L15+(0.02*'2020 Pay Chart'!L15)</f>
        <v>5817.6720000000005</v>
      </c>
      <c r="M15" s="112">
        <f>'2020 Pay Chart'!M15+(0.02*'2020 Pay Chart'!M15)</f>
        <v>6008.0039999999999</v>
      </c>
      <c r="N15" s="112">
        <f>'2020 Pay Chart'!N15+(0.02*'2020 Pay Chart'!N15)</f>
        <v>6133.1579999999994</v>
      </c>
      <c r="O15" s="112">
        <f>'2020 Pay Chart'!O15+(0.02*'2020 Pay Chart'!O15)</f>
        <v>6231.9960000000001</v>
      </c>
      <c r="P15" s="112">
        <f>'2020 Pay Chart'!P15+(0.02*'2020 Pay Chart'!P15)</f>
        <v>6231.9960000000001</v>
      </c>
      <c r="Q15" s="112">
        <f>'2020 Pay Chart'!Q15+(0.02*'2020 Pay Chart'!Q15)</f>
        <v>6231.9960000000001</v>
      </c>
      <c r="R15" s="112">
        <f>'2020 Pay Chart'!R15+(0.02*'2020 Pay Chart'!R15)</f>
        <v>6231.9960000000001</v>
      </c>
      <c r="S15" s="112">
        <f>'2020 Pay Chart'!S15+(0.02*'2020 Pay Chart'!S15)</f>
        <v>6231.9960000000001</v>
      </c>
      <c r="T15" s="112">
        <f>'2020 Pay Chart'!T15+(0.02*'2020 Pay Chart'!T15)</f>
        <v>6231.9960000000001</v>
      </c>
      <c r="U15" s="112">
        <f>'2020 Pay Chart'!U15+(0.02*'2020 Pay Chart'!U15)</f>
        <v>6231.9960000000001</v>
      </c>
      <c r="V15" s="112">
        <f>'2020 Pay Chart'!V15+(0.02*'2020 Pay Chart'!V15)</f>
        <v>6231.9960000000001</v>
      </c>
      <c r="W15" s="112">
        <f>'2020 Pay Chart'!W15+(0.02*'2020 Pay Chart'!W15)</f>
        <v>6231.9960000000001</v>
      </c>
    </row>
    <row r="16" spans="1:23" ht="15.75" thickBot="1" x14ac:dyDescent="0.3">
      <c r="A16" s="14" t="s">
        <v>39</v>
      </c>
      <c r="B16" s="112">
        <f>'2020 Pay Chart'!B16+(0.02*'2020 Pay Chart'!B16)</f>
        <v>3277.26</v>
      </c>
      <c r="C16" s="112">
        <f>'2020 Pay Chart'!C16+(0.02*'2020 Pay Chart'!C16)</f>
        <v>3630.384</v>
      </c>
      <c r="D16" s="112">
        <f>'2020 Pay Chart'!D16+(0.02*'2020 Pay Chart'!D16)</f>
        <v>3724.9380000000001</v>
      </c>
      <c r="E16" s="112">
        <f>'2020 Pay Chart'!E16+(0.02*'2020 Pay Chart'!E16)</f>
        <v>3925.3679999999999</v>
      </c>
      <c r="F16" s="112">
        <f>'2020 Pay Chart'!F16+(0.02*'2020 Pay Chart'!F16)</f>
        <v>4162.2119999999995</v>
      </c>
      <c r="G16" s="112">
        <f>'2020 Pay Chart'!G16+(0.02*'2020 Pay Chart'!G16)</f>
        <v>4511.6639999999998</v>
      </c>
      <c r="H16" s="112">
        <f>'2020 Pay Chart'!H16+(0.02*'2020 Pay Chart'!H16)</f>
        <v>4674.4560000000001</v>
      </c>
      <c r="I16" s="112">
        <f>'2020 Pay Chart'!I16+(0.02*'2020 Pay Chart'!I16)</f>
        <v>4902.732</v>
      </c>
      <c r="J16" s="112">
        <f>'2020 Pay Chart'!J16+(0.02*'2020 Pay Chart'!J16)</f>
        <v>5127.03</v>
      </c>
      <c r="K16" s="112">
        <f>'2020 Pay Chart'!K16+(0.02*'2020 Pay Chart'!K16)</f>
        <v>5303.5920000000006</v>
      </c>
      <c r="L16" s="112">
        <f>'2020 Pay Chart'!L16+(0.02*'2020 Pay Chart'!L16)</f>
        <v>5465.7719999999999</v>
      </c>
      <c r="M16" s="112">
        <f>'2020 Pay Chart'!M16+(0.02*'2020 Pay Chart'!M16)</f>
        <v>5663.1420000000007</v>
      </c>
      <c r="N16" s="112">
        <f>'2020 Pay Chart'!N16+(0.02*'2020 Pay Chart'!N16)</f>
        <v>5663.1420000000007</v>
      </c>
      <c r="O16" s="112">
        <f>'2020 Pay Chart'!O16+(0.02*'2020 Pay Chart'!O16)</f>
        <v>5663.1420000000007</v>
      </c>
      <c r="P16" s="112">
        <f>'2020 Pay Chart'!P16+(0.02*'2020 Pay Chart'!P16)</f>
        <v>5663.1420000000007</v>
      </c>
      <c r="Q16" s="112">
        <f>'2020 Pay Chart'!Q16+(0.02*'2020 Pay Chart'!Q16)</f>
        <v>5663.1420000000007</v>
      </c>
      <c r="R16" s="112">
        <f>'2020 Pay Chart'!R16+(0.02*'2020 Pay Chart'!R16)</f>
        <v>5663.1420000000007</v>
      </c>
      <c r="S16" s="112">
        <f>'2020 Pay Chart'!S16+(0.02*'2020 Pay Chart'!S16)</f>
        <v>5663.1420000000007</v>
      </c>
      <c r="T16" s="112">
        <f>'2020 Pay Chart'!T16+(0.02*'2020 Pay Chart'!T16)</f>
        <v>5663.1420000000007</v>
      </c>
      <c r="U16" s="112">
        <f>'2020 Pay Chart'!U16+(0.02*'2020 Pay Chart'!U16)</f>
        <v>5663.1420000000007</v>
      </c>
      <c r="V16" s="112">
        <f>'2020 Pay Chart'!V16+(0.02*'2020 Pay Chart'!V16)</f>
        <v>5663.1420000000007</v>
      </c>
      <c r="W16" s="112">
        <f>'2020 Pay Chart'!W16+(0.02*'2020 Pay Chart'!W16)</f>
        <v>5663.1420000000007</v>
      </c>
    </row>
    <row r="17" spans="1:23" ht="15.75" thickBot="1" x14ac:dyDescent="0.3">
      <c r="A17" s="14" t="s">
        <v>40</v>
      </c>
      <c r="B17" s="112">
        <f>'2020 Pay Chart'!B17+(0.02*'2020 Pay Chart'!B17)</f>
        <v>5414.3639999999996</v>
      </c>
      <c r="C17" s="112">
        <f>'2020 Pay Chart'!C17+(0.02*'2020 Pay Chart'!C17)</f>
        <v>5414.3639999999996</v>
      </c>
      <c r="D17" s="112">
        <f>'2020 Pay Chart'!D17+(0.02*'2020 Pay Chart'!D17)</f>
        <v>5414.3639999999996</v>
      </c>
      <c r="E17" s="112">
        <f>'2020 Pay Chart'!E17+(0.02*'2020 Pay Chart'!E17)</f>
        <v>5414.3639999999996</v>
      </c>
      <c r="F17" s="112">
        <f>'2020 Pay Chart'!F17+(0.02*'2020 Pay Chart'!F17)</f>
        <v>5414.3639999999996</v>
      </c>
      <c r="G17" s="112">
        <f>'2020 Pay Chart'!G17+(0.02*'2020 Pay Chart'!G17)</f>
        <v>5414.3639999999996</v>
      </c>
      <c r="H17" s="112">
        <f>'2020 Pay Chart'!H17+(0.02*'2020 Pay Chart'!H17)</f>
        <v>5414.3639999999996</v>
      </c>
      <c r="I17" s="112">
        <f>'2020 Pay Chart'!I17+(0.02*'2020 Pay Chart'!I17)</f>
        <v>5537.07</v>
      </c>
      <c r="J17" s="112">
        <f>'2020 Pay Chart'!J17+(0.02*'2020 Pay Chart'!J17)</f>
        <v>5691.9059999999999</v>
      </c>
      <c r="K17" s="112">
        <f>'2020 Pay Chart'!K17+(0.02*'2020 Pay Chart'!K17)</f>
        <v>5873.3639999999996</v>
      </c>
      <c r="L17" s="112">
        <f>'2020 Pay Chart'!L17+(0.02*'2020 Pay Chart'!L17)</f>
        <v>6057.576</v>
      </c>
      <c r="M17" s="112">
        <f>'2020 Pay Chart'!M17+(0.02*'2020 Pay Chart'!M17)</f>
        <v>6351.03</v>
      </c>
      <c r="N17" s="112">
        <f>'2020 Pay Chart'!N17+(0.02*'2020 Pay Chart'!N17)</f>
        <v>6600.1139999999996</v>
      </c>
      <c r="O17" s="112">
        <f>'2020 Pay Chart'!O17+(0.02*'2020 Pay Chart'!O17)</f>
        <v>6861.1320000000005</v>
      </c>
      <c r="P17" s="112">
        <f>'2020 Pay Chart'!P17+(0.02*'2020 Pay Chart'!P17)</f>
        <v>7261.6860000000006</v>
      </c>
      <c r="Q17" s="112">
        <f>'2020 Pay Chart'!Q17+(0.02*'2020 Pay Chart'!Q17)</f>
        <v>7261.6860000000006</v>
      </c>
      <c r="R17" s="112">
        <f>'2020 Pay Chart'!R17+(0.02*'2020 Pay Chart'!R17)</f>
        <v>7624.2960000000003</v>
      </c>
      <c r="S17" s="112">
        <f>'2020 Pay Chart'!S17+(0.02*'2020 Pay Chart'!S17)</f>
        <v>7624.2960000000003</v>
      </c>
      <c r="T17" s="112">
        <f>'2020 Pay Chart'!T17+(0.02*'2020 Pay Chart'!T17)</f>
        <v>8005.8779999999997</v>
      </c>
      <c r="U17" s="112">
        <f>'2020 Pay Chart'!U17+(0.02*'2020 Pay Chart'!U17)</f>
        <v>8005.8779999999997</v>
      </c>
      <c r="V17" s="112">
        <f>'2020 Pay Chart'!V17+(0.02*'2020 Pay Chart'!V17)</f>
        <v>8406.7379999999994</v>
      </c>
      <c r="W17" s="112">
        <f>'2020 Pay Chart'!W17+(0.02*'2020 Pay Chart'!W17)</f>
        <v>8406.7379999999994</v>
      </c>
    </row>
    <row r="18" spans="1:23" ht="15.75" thickBot="1" x14ac:dyDescent="0.3">
      <c r="A18" s="14" t="s">
        <v>41</v>
      </c>
      <c r="B18" s="112">
        <f>'2020 Pay Chart'!B18+(0.02*'2020 Pay Chart'!B18)</f>
        <v>4432.41</v>
      </c>
      <c r="C18" s="112">
        <f>'2020 Pay Chart'!C18+(0.02*'2020 Pay Chart'!C18)</f>
        <v>4432.41</v>
      </c>
      <c r="D18" s="112">
        <f>'2020 Pay Chart'!D18+(0.02*'2020 Pay Chart'!D18)</f>
        <v>4432.41</v>
      </c>
      <c r="E18" s="112">
        <f>'2020 Pay Chart'!E18+(0.02*'2020 Pay Chart'!E18)</f>
        <v>4432.41</v>
      </c>
      <c r="F18" s="112">
        <f>'2020 Pay Chart'!F18+(0.02*'2020 Pay Chart'!F18)</f>
        <v>4432.41</v>
      </c>
      <c r="G18" s="112">
        <f>'2020 Pay Chart'!G18+(0.02*'2020 Pay Chart'!G18)</f>
        <v>4432.41</v>
      </c>
      <c r="H18" s="112">
        <f>'2020 Pay Chart'!H18+(0.02*'2020 Pay Chart'!H18)</f>
        <v>4628.25</v>
      </c>
      <c r="I18" s="112">
        <f>'2020 Pay Chart'!I18+(0.02*'2020 Pay Chart'!I18)</f>
        <v>4749.732</v>
      </c>
      <c r="J18" s="112">
        <f>'2020 Pay Chart'!J18+(0.02*'2020 Pay Chart'!J18)</f>
        <v>4894.7759999999998</v>
      </c>
      <c r="K18" s="112">
        <f>'2020 Pay Chart'!K18+(0.02*'2020 Pay Chart'!K18)</f>
        <v>5052.6720000000005</v>
      </c>
      <c r="L18" s="112">
        <f>'2020 Pay Chart'!L18+(0.02*'2020 Pay Chart'!L18)</f>
        <v>5336.9459999999999</v>
      </c>
      <c r="M18" s="112">
        <f>'2020 Pay Chart'!M18+(0.02*'2020 Pay Chart'!M18)</f>
        <v>5481.0720000000001</v>
      </c>
      <c r="N18" s="112">
        <f>'2020 Pay Chart'!N18+(0.02*'2020 Pay Chart'!N18)</f>
        <v>5726.1779999999999</v>
      </c>
      <c r="O18" s="112">
        <f>'2020 Pay Chart'!O18+(0.02*'2020 Pay Chart'!O18)</f>
        <v>5862.348</v>
      </c>
      <c r="P18" s="112">
        <f>'2020 Pay Chart'!P18+(0.02*'2020 Pay Chart'!P18)</f>
        <v>6197.1120000000001</v>
      </c>
      <c r="Q18" s="112">
        <f>'2020 Pay Chart'!Q18+(0.02*'2020 Pay Chart'!Q18)</f>
        <v>6197.1120000000001</v>
      </c>
      <c r="R18" s="112">
        <f>'2020 Pay Chart'!R18+(0.02*'2020 Pay Chart'!R18)</f>
        <v>6321.6539999999995</v>
      </c>
      <c r="S18" s="112">
        <f>'2020 Pay Chart'!S18+(0.02*'2020 Pay Chart'!S18)</f>
        <v>6321.6539999999995</v>
      </c>
      <c r="T18" s="112">
        <f>'2020 Pay Chart'!T18+(0.02*'2020 Pay Chart'!T18)</f>
        <v>6321.6539999999995</v>
      </c>
      <c r="U18" s="112">
        <f>'2020 Pay Chart'!U18+(0.02*'2020 Pay Chart'!U18)</f>
        <v>6321.6539999999995</v>
      </c>
      <c r="V18" s="112">
        <f>'2020 Pay Chart'!V18+(0.02*'2020 Pay Chart'!V18)</f>
        <v>6321.6539999999995</v>
      </c>
      <c r="W18" s="112">
        <f>'2020 Pay Chart'!W18+(0.02*'2020 Pay Chart'!W18)</f>
        <v>6321.6539999999995</v>
      </c>
    </row>
    <row r="19" spans="1:23" ht="15.75" thickBot="1" x14ac:dyDescent="0.3">
      <c r="A19" s="14" t="s">
        <v>42</v>
      </c>
      <c r="B19" s="112">
        <f>'2020 Pay Chart'!B19+(0.02*'2020 Pay Chart'!B19)</f>
        <v>3081.114</v>
      </c>
      <c r="C19" s="112">
        <f>'2020 Pay Chart'!C19+(0.02*'2020 Pay Chart'!C19)</f>
        <v>3362.634</v>
      </c>
      <c r="D19" s="112">
        <f>'2020 Pay Chart'!D19+(0.02*'2020 Pay Chart'!D19)</f>
        <v>3491.7660000000001</v>
      </c>
      <c r="E19" s="112">
        <f>'2020 Pay Chart'!E19+(0.02*'2020 Pay Chart'!E19)</f>
        <v>3661.902</v>
      </c>
      <c r="F19" s="112">
        <f>'2020 Pay Chart'!F19+(0.02*'2020 Pay Chart'!F19)</f>
        <v>3795.3180000000002</v>
      </c>
      <c r="G19" s="112">
        <f>'2020 Pay Chart'!G19+(0.02*'2020 Pay Chart'!G19)</f>
        <v>4023.9</v>
      </c>
      <c r="H19" s="112">
        <f>'2020 Pay Chart'!H19+(0.02*'2020 Pay Chart'!H19)</f>
        <v>4153.0320000000002</v>
      </c>
      <c r="I19" s="112">
        <f>'2020 Pay Chart'!I19+(0.02*'2020 Pay Chart'!I19)</f>
        <v>4381.6139999999996</v>
      </c>
      <c r="J19" s="112">
        <f>'2020 Pay Chart'!J19+(0.02*'2020 Pay Chart'!J19)</f>
        <v>4572.2520000000004</v>
      </c>
      <c r="K19" s="112">
        <f>'2020 Pay Chart'!K19+(0.02*'2020 Pay Chart'!K19)</f>
        <v>4701.9960000000001</v>
      </c>
      <c r="L19" s="112">
        <f>'2020 Pay Chart'!L19+(0.02*'2020 Pay Chart'!L19)</f>
        <v>4840.308</v>
      </c>
      <c r="M19" s="112">
        <f>'2020 Pay Chart'!M19+(0.02*'2020 Pay Chart'!M19)</f>
        <v>4893.5520000000006</v>
      </c>
      <c r="N19" s="112">
        <f>'2020 Pay Chart'!N19+(0.02*'2020 Pay Chart'!N19)</f>
        <v>5073.7860000000001</v>
      </c>
      <c r="O19" s="112">
        <f>'2020 Pay Chart'!O19+(0.02*'2020 Pay Chart'!O19)</f>
        <v>5170.1760000000004</v>
      </c>
      <c r="P19" s="112">
        <f>'2020 Pay Chart'!P19+(0.02*'2020 Pay Chart'!P19)</f>
        <v>5537.6820000000007</v>
      </c>
      <c r="Q19" s="112">
        <f>'2020 Pay Chart'!Q19+(0.02*'2020 Pay Chart'!Q19)</f>
        <v>5537.6820000000007</v>
      </c>
      <c r="R19" s="112">
        <f>'2020 Pay Chart'!R19+(0.02*'2020 Pay Chart'!R19)</f>
        <v>5537.6820000000007</v>
      </c>
      <c r="S19" s="112">
        <f>'2020 Pay Chart'!S19+(0.02*'2020 Pay Chart'!S19)</f>
        <v>5537.6820000000007</v>
      </c>
      <c r="T19" s="112">
        <f>'2020 Pay Chart'!T19+(0.02*'2020 Pay Chart'!T19)</f>
        <v>5537.6820000000007</v>
      </c>
      <c r="U19" s="112">
        <f>'2020 Pay Chart'!U19+(0.02*'2020 Pay Chart'!U19)</f>
        <v>5537.6820000000007</v>
      </c>
      <c r="V19" s="112">
        <f>'2020 Pay Chart'!V19+(0.02*'2020 Pay Chart'!V19)</f>
        <v>5537.6820000000007</v>
      </c>
      <c r="W19" s="112">
        <f>'2020 Pay Chart'!W19+(0.02*'2020 Pay Chart'!W19)</f>
        <v>5537.6820000000007</v>
      </c>
    </row>
    <row r="20" spans="1:23" ht="15.75" thickBot="1" x14ac:dyDescent="0.3">
      <c r="A20" s="14" t="s">
        <v>43</v>
      </c>
      <c r="B20" s="112">
        <f>'2020 Pay Chart'!B20+(0.02*'2020 Pay Chart'!B20)</f>
        <v>2664.9539999999997</v>
      </c>
      <c r="C20" s="112">
        <f>'2020 Pay Chart'!C20+(0.02*'2020 Pay Chart'!C20)</f>
        <v>2932.7039999999997</v>
      </c>
      <c r="D20" s="112">
        <f>'2020 Pay Chart'!D20+(0.02*'2020 Pay Chart'!D20)</f>
        <v>3062.1419999999998</v>
      </c>
      <c r="E20" s="112">
        <f>'2020 Pay Chart'!E20+(0.02*'2020 Pay Chart'!E20)</f>
        <v>3187.9079999999999</v>
      </c>
      <c r="F20" s="112">
        <f>'2020 Pay Chart'!F20+(0.02*'2020 Pay Chart'!F20)</f>
        <v>3319.1819999999998</v>
      </c>
      <c r="G20" s="112">
        <f>'2020 Pay Chart'!G20+(0.02*'2020 Pay Chart'!G20)</f>
        <v>3614.1660000000002</v>
      </c>
      <c r="H20" s="112">
        <f>'2020 Pay Chart'!H20+(0.02*'2020 Pay Chart'!H20)</f>
        <v>3729.5280000000002</v>
      </c>
      <c r="I20" s="112">
        <f>'2020 Pay Chart'!I20+(0.02*'2020 Pay Chart'!I20)</f>
        <v>3952.2960000000003</v>
      </c>
      <c r="J20" s="112">
        <f>'2020 Pay Chart'!J20+(0.02*'2020 Pay Chart'!J20)</f>
        <v>4020.2280000000001</v>
      </c>
      <c r="K20" s="112">
        <f>'2020 Pay Chart'!K20+(0.02*'2020 Pay Chart'!K20)</f>
        <v>4069.8</v>
      </c>
      <c r="L20" s="112">
        <f>'2020 Pay Chart'!L20+(0.02*'2020 Pay Chart'!L20)</f>
        <v>4127.634</v>
      </c>
      <c r="M20" s="112">
        <f>'2020 Pay Chart'!M20+(0.02*'2020 Pay Chart'!M20)</f>
        <v>4127.634</v>
      </c>
      <c r="N20" s="112">
        <f>'2020 Pay Chart'!N20+(0.02*'2020 Pay Chart'!N20)</f>
        <v>4127.634</v>
      </c>
      <c r="O20" s="112">
        <f>'2020 Pay Chart'!O20+(0.02*'2020 Pay Chart'!O20)</f>
        <v>4127.634</v>
      </c>
      <c r="P20" s="112">
        <f>'2020 Pay Chart'!P20+(0.02*'2020 Pay Chart'!P20)</f>
        <v>4127.634</v>
      </c>
      <c r="Q20" s="112">
        <f>'2020 Pay Chart'!Q20+(0.02*'2020 Pay Chart'!Q20)</f>
        <v>4127.634</v>
      </c>
      <c r="R20" s="112">
        <f>'2020 Pay Chart'!R20+(0.02*'2020 Pay Chart'!R20)</f>
        <v>4127.634</v>
      </c>
      <c r="S20" s="112">
        <f>'2020 Pay Chart'!S20+(0.02*'2020 Pay Chart'!S20)</f>
        <v>4127.634</v>
      </c>
      <c r="T20" s="112">
        <f>'2020 Pay Chart'!T20+(0.02*'2020 Pay Chart'!T20)</f>
        <v>4127.634</v>
      </c>
      <c r="U20" s="112">
        <f>'2020 Pay Chart'!U20+(0.02*'2020 Pay Chart'!U20)</f>
        <v>4127.634</v>
      </c>
      <c r="V20" s="112">
        <f>'2020 Pay Chart'!V20+(0.02*'2020 Pay Chart'!V20)</f>
        <v>4127.634</v>
      </c>
      <c r="W20" s="112">
        <f>'2020 Pay Chart'!W20+(0.02*'2020 Pay Chart'!W20)</f>
        <v>4127.634</v>
      </c>
    </row>
    <row r="21" spans="1:23" ht="15.75" thickBot="1" x14ac:dyDescent="0.3">
      <c r="A21" s="14" t="s">
        <v>44</v>
      </c>
      <c r="B21" s="112">
        <f>'2020 Pay Chart'!B21+(0.02*'2020 Pay Chart'!B21)</f>
        <v>2441.268</v>
      </c>
      <c r="C21" s="112">
        <f>'2020 Pay Chart'!C21+(0.02*'2020 Pay Chart'!C21)</f>
        <v>2605.8960000000002</v>
      </c>
      <c r="D21" s="112">
        <f>'2020 Pay Chart'!D21+(0.02*'2020 Pay Chart'!D21)</f>
        <v>2731.6619999999998</v>
      </c>
      <c r="E21" s="112">
        <f>'2020 Pay Chart'!E21+(0.02*'2020 Pay Chart'!E21)</f>
        <v>2860.4880000000003</v>
      </c>
      <c r="F21" s="112">
        <f>'2020 Pay Chart'!F21+(0.02*'2020 Pay Chart'!F21)</f>
        <v>3061.53</v>
      </c>
      <c r="G21" s="112">
        <f>'2020 Pay Chart'!G21+(0.02*'2020 Pay Chart'!G21)</f>
        <v>3271.14</v>
      </c>
      <c r="H21" s="112">
        <f>'2020 Pay Chart'!H21+(0.02*'2020 Pay Chart'!H21)</f>
        <v>3443.7239999999997</v>
      </c>
      <c r="I21" s="112">
        <f>'2020 Pay Chart'!I21+(0.02*'2020 Pay Chart'!I21)</f>
        <v>3464.5319999999997</v>
      </c>
      <c r="J21" s="112">
        <f>'2020 Pay Chart'!J21+(0.02*'2020 Pay Chart'!J21)</f>
        <v>3464.5319999999997</v>
      </c>
      <c r="K21" s="112">
        <f>'2020 Pay Chart'!K21+(0.02*'2020 Pay Chart'!K21)</f>
        <v>3464.5319999999997</v>
      </c>
      <c r="L21" s="112">
        <f>'2020 Pay Chart'!L21+(0.02*'2020 Pay Chart'!L21)</f>
        <v>3464.5319999999997</v>
      </c>
      <c r="M21" s="112">
        <f>'2020 Pay Chart'!M21+(0.02*'2020 Pay Chart'!M21)</f>
        <v>3464.5319999999997</v>
      </c>
      <c r="N21" s="112">
        <f>'2020 Pay Chart'!N21+(0.02*'2020 Pay Chart'!N21)</f>
        <v>3464.5319999999997</v>
      </c>
      <c r="O21" s="112">
        <f>'2020 Pay Chart'!O21+(0.02*'2020 Pay Chart'!O21)</f>
        <v>3464.5319999999997</v>
      </c>
      <c r="P21" s="112">
        <f>'2020 Pay Chart'!P21+(0.02*'2020 Pay Chart'!P21)</f>
        <v>3464.5319999999997</v>
      </c>
      <c r="Q21" s="112">
        <f>'2020 Pay Chart'!Q21+(0.02*'2020 Pay Chart'!Q21)</f>
        <v>3464.5319999999997</v>
      </c>
      <c r="R21" s="112">
        <f>'2020 Pay Chart'!R21+(0.02*'2020 Pay Chart'!R21)</f>
        <v>3464.5319999999997</v>
      </c>
      <c r="S21" s="112">
        <f>'2020 Pay Chart'!S21+(0.02*'2020 Pay Chart'!S21)</f>
        <v>3464.5319999999997</v>
      </c>
      <c r="T21" s="112">
        <f>'2020 Pay Chart'!T21+(0.02*'2020 Pay Chart'!T21)</f>
        <v>3464.5319999999997</v>
      </c>
      <c r="U21" s="112">
        <f>'2020 Pay Chart'!U21+(0.02*'2020 Pay Chart'!U21)</f>
        <v>3464.5319999999997</v>
      </c>
      <c r="V21" s="112">
        <f>'2020 Pay Chart'!V21+(0.02*'2020 Pay Chart'!V21)</f>
        <v>3464.5319999999997</v>
      </c>
      <c r="W21" s="112">
        <f>'2020 Pay Chart'!W21+(0.02*'2020 Pay Chart'!W21)</f>
        <v>3464.5319999999997</v>
      </c>
    </row>
    <row r="22" spans="1:23" ht="15.75" thickBot="1" x14ac:dyDescent="0.3">
      <c r="A22" s="14" t="s">
        <v>45</v>
      </c>
      <c r="B22" s="112">
        <f>'2020 Pay Chart'!B22+(0.02*'2020 Pay Chart'!B22)</f>
        <v>2238.39</v>
      </c>
      <c r="C22" s="112">
        <f>'2020 Pay Chart'!C22+(0.02*'2020 Pay Chart'!C22)</f>
        <v>2353.14</v>
      </c>
      <c r="D22" s="112">
        <f>'2020 Pay Chart'!D22+(0.02*'2020 Pay Chart'!D22)</f>
        <v>2480.4360000000001</v>
      </c>
      <c r="E22" s="112">
        <f>'2020 Pay Chart'!E22+(0.02*'2020 Pay Chart'!E22)</f>
        <v>2606.5080000000003</v>
      </c>
      <c r="F22" s="112">
        <f>'2020 Pay Chart'!F22+(0.02*'2020 Pay Chart'!F22)</f>
        <v>2717.28</v>
      </c>
      <c r="G22" s="112">
        <f>'2020 Pay Chart'!G22+(0.02*'2020 Pay Chart'!G22)</f>
        <v>2717.28</v>
      </c>
      <c r="H22" s="112">
        <f>'2020 Pay Chart'!H22+(0.02*'2020 Pay Chart'!H22)</f>
        <v>2717.28</v>
      </c>
      <c r="I22" s="112">
        <f>'2020 Pay Chart'!I22+(0.02*'2020 Pay Chart'!I22)</f>
        <v>2717.28</v>
      </c>
      <c r="J22" s="112">
        <f>'2020 Pay Chart'!J22+(0.02*'2020 Pay Chart'!J22)</f>
        <v>2717.28</v>
      </c>
      <c r="K22" s="112">
        <f>'2020 Pay Chart'!K22+(0.02*'2020 Pay Chart'!K22)</f>
        <v>2717.28</v>
      </c>
      <c r="L22" s="112">
        <f>'2020 Pay Chart'!L22+(0.02*'2020 Pay Chart'!L22)</f>
        <v>2717.28</v>
      </c>
      <c r="M22" s="112">
        <f>'2020 Pay Chart'!M22+(0.02*'2020 Pay Chart'!M22)</f>
        <v>2717.28</v>
      </c>
      <c r="N22" s="112">
        <f>'2020 Pay Chart'!N22+(0.02*'2020 Pay Chart'!N22)</f>
        <v>2717.28</v>
      </c>
      <c r="O22" s="112">
        <f>'2020 Pay Chart'!O22+(0.02*'2020 Pay Chart'!O22)</f>
        <v>2717.28</v>
      </c>
      <c r="P22" s="112">
        <f>'2020 Pay Chart'!P22+(0.02*'2020 Pay Chart'!P22)</f>
        <v>2717.28</v>
      </c>
      <c r="Q22" s="112">
        <f>'2020 Pay Chart'!Q22+(0.02*'2020 Pay Chart'!Q22)</f>
        <v>2717.28</v>
      </c>
      <c r="R22" s="112">
        <f>'2020 Pay Chart'!R22+(0.02*'2020 Pay Chart'!R22)</f>
        <v>2717.28</v>
      </c>
      <c r="S22" s="112">
        <f>'2020 Pay Chart'!S22+(0.02*'2020 Pay Chart'!S22)</f>
        <v>2717.28</v>
      </c>
      <c r="T22" s="112">
        <f>'2020 Pay Chart'!T22+(0.02*'2020 Pay Chart'!T22)</f>
        <v>2717.28</v>
      </c>
      <c r="U22" s="112">
        <f>'2020 Pay Chart'!U22+(0.02*'2020 Pay Chart'!U22)</f>
        <v>2717.28</v>
      </c>
      <c r="V22" s="112">
        <f>'2020 Pay Chart'!V22+(0.02*'2020 Pay Chart'!V22)</f>
        <v>2717.28</v>
      </c>
      <c r="W22" s="112">
        <f>'2020 Pay Chart'!W22+(0.02*'2020 Pay Chart'!W22)</f>
        <v>2717.28</v>
      </c>
    </row>
    <row r="23" spans="1:23" ht="15.75" thickBot="1" x14ac:dyDescent="0.3">
      <c r="A23" s="14" t="s">
        <v>46</v>
      </c>
      <c r="B23" s="112">
        <f>'2020 Pay Chart'!B23+(0.02*'2020 Pay Chart'!B23)</f>
        <v>2020.8240000000001</v>
      </c>
      <c r="C23" s="112">
        <f>'2020 Pay Chart'!C23+(0.02*'2020 Pay Chart'!C23)</f>
        <v>2147.8139999999999</v>
      </c>
      <c r="D23" s="112">
        <f>'2020 Pay Chart'!D23+(0.02*'2020 Pay Chart'!D23)</f>
        <v>2278.17</v>
      </c>
      <c r="E23" s="112">
        <f>'2020 Pay Chart'!E23+(0.02*'2020 Pay Chart'!E23)</f>
        <v>2278.17</v>
      </c>
      <c r="F23" s="112">
        <f>'2020 Pay Chart'!F23+(0.02*'2020 Pay Chart'!F23)</f>
        <v>2278.17</v>
      </c>
      <c r="G23" s="112">
        <f>'2020 Pay Chart'!G23+(0.02*'2020 Pay Chart'!G23)</f>
        <v>2278.17</v>
      </c>
      <c r="H23" s="112">
        <f>'2020 Pay Chart'!H23+(0.02*'2020 Pay Chart'!H23)</f>
        <v>2278.17</v>
      </c>
      <c r="I23" s="112">
        <f>'2020 Pay Chart'!I23+(0.02*'2020 Pay Chart'!I23)</f>
        <v>2278.17</v>
      </c>
      <c r="J23" s="112">
        <f>'2020 Pay Chart'!J23+(0.02*'2020 Pay Chart'!J23)</f>
        <v>2278.17</v>
      </c>
      <c r="K23" s="112">
        <f>'2020 Pay Chart'!K23+(0.02*'2020 Pay Chart'!K23)</f>
        <v>2278.17</v>
      </c>
      <c r="L23" s="112">
        <f>'2020 Pay Chart'!L23+(0.02*'2020 Pay Chart'!L23)</f>
        <v>2278.17</v>
      </c>
      <c r="M23" s="112">
        <f>'2020 Pay Chart'!M23+(0.02*'2020 Pay Chart'!M23)</f>
        <v>2278.17</v>
      </c>
      <c r="N23" s="112">
        <f>'2020 Pay Chart'!N23+(0.02*'2020 Pay Chart'!N23)</f>
        <v>2278.17</v>
      </c>
      <c r="O23" s="112">
        <f>'2020 Pay Chart'!O23+(0.02*'2020 Pay Chart'!O23)</f>
        <v>2278.17</v>
      </c>
      <c r="P23" s="112">
        <f>'2020 Pay Chart'!P23+(0.02*'2020 Pay Chart'!P23)</f>
        <v>2278.17</v>
      </c>
      <c r="Q23" s="112">
        <f>'2020 Pay Chart'!Q23+(0.02*'2020 Pay Chart'!Q23)</f>
        <v>2278.17</v>
      </c>
      <c r="R23" s="112">
        <f>'2020 Pay Chart'!R23+(0.02*'2020 Pay Chart'!R23)</f>
        <v>2278.17</v>
      </c>
      <c r="S23" s="112">
        <f>'2020 Pay Chart'!S23+(0.02*'2020 Pay Chart'!S23)</f>
        <v>2278.17</v>
      </c>
      <c r="T23" s="112">
        <f>'2020 Pay Chart'!T23+(0.02*'2020 Pay Chart'!T23)</f>
        <v>2278.17</v>
      </c>
      <c r="U23" s="112">
        <f>'2020 Pay Chart'!U23+(0.02*'2020 Pay Chart'!U23)</f>
        <v>2278.17</v>
      </c>
      <c r="V23" s="112">
        <f>'2020 Pay Chart'!V23+(0.02*'2020 Pay Chart'!V23)</f>
        <v>2278.17</v>
      </c>
      <c r="W23" s="112">
        <f>'2020 Pay Chart'!W23+(0.02*'2020 Pay Chart'!W23)</f>
        <v>2278.17</v>
      </c>
    </row>
    <row r="24" spans="1:23" ht="15.75" thickBot="1" x14ac:dyDescent="0.3">
      <c r="A24" s="14" t="s">
        <v>47</v>
      </c>
      <c r="B24" s="112">
        <f>'2020 Pay Chart'!B24+(0.02*'2020 Pay Chart'!B24)</f>
        <v>1921.68</v>
      </c>
      <c r="C24" s="112">
        <f>'2020 Pay Chart'!C24+(0.02*'2020 Pay Chart'!C24)</f>
        <v>1921.68</v>
      </c>
      <c r="D24" s="112">
        <f>'2020 Pay Chart'!D24+(0.02*'2020 Pay Chart'!D24)</f>
        <v>1921.68</v>
      </c>
      <c r="E24" s="112">
        <f>'2020 Pay Chart'!E24+(0.02*'2020 Pay Chart'!E24)</f>
        <v>1921.68</v>
      </c>
      <c r="F24" s="112">
        <f>'2020 Pay Chart'!F24+(0.02*'2020 Pay Chart'!F24)</f>
        <v>1921.68</v>
      </c>
      <c r="G24" s="112">
        <f>'2020 Pay Chart'!G24+(0.02*'2020 Pay Chart'!G24)</f>
        <v>1921.68</v>
      </c>
      <c r="H24" s="112">
        <f>'2020 Pay Chart'!H24+(0.02*'2020 Pay Chart'!H24)</f>
        <v>1921.68</v>
      </c>
      <c r="I24" s="112">
        <f>'2020 Pay Chart'!I24+(0.02*'2020 Pay Chart'!I24)</f>
        <v>1921.68</v>
      </c>
      <c r="J24" s="112">
        <f>'2020 Pay Chart'!J24+(0.02*'2020 Pay Chart'!J24)</f>
        <v>1921.68</v>
      </c>
      <c r="K24" s="112">
        <f>'2020 Pay Chart'!K24+(0.02*'2020 Pay Chart'!K24)</f>
        <v>1921.68</v>
      </c>
      <c r="L24" s="112">
        <f>'2020 Pay Chart'!L24+(0.02*'2020 Pay Chart'!L24)</f>
        <v>1921.68</v>
      </c>
      <c r="M24" s="112">
        <f>'2020 Pay Chart'!M24+(0.02*'2020 Pay Chart'!M24)</f>
        <v>1921.68</v>
      </c>
      <c r="N24" s="112">
        <f>'2020 Pay Chart'!N24+(0.02*'2020 Pay Chart'!N24)</f>
        <v>1921.68</v>
      </c>
      <c r="O24" s="112">
        <f>'2020 Pay Chart'!O24+(0.02*'2020 Pay Chart'!O24)</f>
        <v>1921.68</v>
      </c>
      <c r="P24" s="112">
        <f>'2020 Pay Chart'!P24+(0.02*'2020 Pay Chart'!P24)</f>
        <v>1921.68</v>
      </c>
      <c r="Q24" s="112">
        <f>'2020 Pay Chart'!Q24+(0.02*'2020 Pay Chart'!Q24)</f>
        <v>1921.68</v>
      </c>
      <c r="R24" s="112">
        <f>'2020 Pay Chart'!R24+(0.02*'2020 Pay Chart'!R24)</f>
        <v>1921.68</v>
      </c>
      <c r="S24" s="112">
        <f>'2020 Pay Chart'!S24+(0.02*'2020 Pay Chart'!S24)</f>
        <v>1921.68</v>
      </c>
      <c r="T24" s="112">
        <f>'2020 Pay Chart'!T24+(0.02*'2020 Pay Chart'!T24)</f>
        <v>1921.68</v>
      </c>
      <c r="U24" s="112">
        <f>'2020 Pay Chart'!U24+(0.02*'2020 Pay Chart'!U24)</f>
        <v>1921.68</v>
      </c>
      <c r="V24" s="112">
        <f>'2020 Pay Chart'!V24+(0.02*'2020 Pay Chart'!V24)</f>
        <v>1921.68</v>
      </c>
      <c r="W24" s="112">
        <f>'2020 Pay Chart'!W24+(0.02*'2020 Pay Chart'!W24)</f>
        <v>1921.68</v>
      </c>
    </row>
    <row r="25" spans="1:23" ht="15.75" thickBot="1" x14ac:dyDescent="0.3">
      <c r="A25" s="14" t="s">
        <v>56</v>
      </c>
      <c r="B25" s="112">
        <f>'2020 Pay Chart'!B25+(0.02*'2020 Pay Chart'!B25)</f>
        <v>1714.518</v>
      </c>
      <c r="C25" s="112">
        <f>'2020 Pay Chart'!C25+(0.02*'2020 Pay Chart'!C25)</f>
        <v>1714.518</v>
      </c>
      <c r="D25" s="112">
        <f>'2020 Pay Chart'!D25+(0.02*'2020 Pay Chart'!D25)</f>
        <v>1714.518</v>
      </c>
      <c r="E25" s="112">
        <f>'2020 Pay Chart'!E25+(0.02*'2020 Pay Chart'!E25)</f>
        <v>1714.518</v>
      </c>
      <c r="F25" s="112">
        <f>'2020 Pay Chart'!F25+(0.02*'2020 Pay Chart'!F25)</f>
        <v>1714.518</v>
      </c>
      <c r="G25" s="112">
        <f>'2020 Pay Chart'!G25+(0.02*'2020 Pay Chart'!G25)</f>
        <v>1714.518</v>
      </c>
      <c r="H25" s="112">
        <f>'2020 Pay Chart'!H25+(0.02*'2020 Pay Chart'!H25)</f>
        <v>1714.518</v>
      </c>
      <c r="I25" s="112">
        <f>'2020 Pay Chart'!I25+(0.02*'2020 Pay Chart'!I25)</f>
        <v>1714.518</v>
      </c>
      <c r="J25" s="112">
        <f>'2020 Pay Chart'!J25+(0.02*'2020 Pay Chart'!J25)</f>
        <v>1714.518</v>
      </c>
      <c r="K25" s="112">
        <f>'2020 Pay Chart'!K25+(0.02*'2020 Pay Chart'!K25)</f>
        <v>1714.518</v>
      </c>
      <c r="L25" s="112">
        <f>'2020 Pay Chart'!L25+(0.02*'2020 Pay Chart'!L25)</f>
        <v>1714.518</v>
      </c>
      <c r="M25" s="112">
        <f>'2020 Pay Chart'!M25+(0.02*'2020 Pay Chart'!M25)</f>
        <v>1714.518</v>
      </c>
      <c r="N25" s="112">
        <f>'2020 Pay Chart'!N25+(0.02*'2020 Pay Chart'!N25)</f>
        <v>1714.518</v>
      </c>
      <c r="O25" s="112">
        <f>'2020 Pay Chart'!O25+(0.02*'2020 Pay Chart'!O25)</f>
        <v>1714.518</v>
      </c>
      <c r="P25" s="112">
        <f>'2020 Pay Chart'!P25+(0.02*'2020 Pay Chart'!P25)</f>
        <v>1714.518</v>
      </c>
      <c r="Q25" s="112">
        <f>'2020 Pay Chart'!Q25+(0.02*'2020 Pay Chart'!Q25)</f>
        <v>1714.518</v>
      </c>
      <c r="R25" s="112">
        <f>'2020 Pay Chart'!R25+(0.02*'2020 Pay Chart'!R25)</f>
        <v>1714.518</v>
      </c>
      <c r="S25" s="112">
        <f>'2020 Pay Chart'!S25+(0.02*'2020 Pay Chart'!S25)</f>
        <v>1714.518</v>
      </c>
      <c r="T25" s="112">
        <f>'2020 Pay Chart'!T25+(0.02*'2020 Pay Chart'!T25)</f>
        <v>1714.518</v>
      </c>
      <c r="U25" s="112">
        <f>'2020 Pay Chart'!U25+(0.02*'2020 Pay Chart'!U25)</f>
        <v>1714.518</v>
      </c>
      <c r="V25" s="112">
        <f>'2020 Pay Chart'!V25+(0.02*'2020 Pay Chart'!V25)</f>
        <v>1714.518</v>
      </c>
      <c r="W25" s="112">
        <f>'2020 Pay Chart'!W25+(0.02*'2020 Pay Chart'!W25)</f>
        <v>1714.518</v>
      </c>
    </row>
  </sheetData>
  <sheetProtection sheet="1" objects="1" scenarios="1"/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60A72-BA46-45CF-AF03-5F2EF5121B03}">
  <sheetPr>
    <tabColor rgb="FF0070C0"/>
  </sheetPr>
  <dimension ref="A1:W25"/>
  <sheetViews>
    <sheetView workbookViewId="0">
      <selection activeCell="G17" sqref="G17"/>
    </sheetView>
  </sheetViews>
  <sheetFormatPr defaultColWidth="9.140625" defaultRowHeight="15" x14ac:dyDescent="0.25"/>
  <cols>
    <col min="1" max="1" width="18.28515625" style="11" bestFit="1" customWidth="1"/>
    <col min="2" max="16384" width="9.140625" style="11"/>
  </cols>
  <sheetData>
    <row r="1" spans="1:23" ht="15.75" thickBot="1" x14ac:dyDescent="0.3">
      <c r="A1" s="12"/>
      <c r="B1" s="12">
        <v>0</v>
      </c>
      <c r="C1" s="12">
        <v>2</v>
      </c>
      <c r="D1" s="12">
        <v>3</v>
      </c>
      <c r="E1" s="12">
        <v>4</v>
      </c>
      <c r="F1" s="12">
        <v>6</v>
      </c>
      <c r="G1" s="12">
        <v>8</v>
      </c>
      <c r="H1" s="12">
        <v>10</v>
      </c>
      <c r="I1" s="12">
        <v>12</v>
      </c>
      <c r="J1" s="12">
        <v>14</v>
      </c>
      <c r="K1" s="12">
        <v>16</v>
      </c>
      <c r="L1" s="12">
        <v>18</v>
      </c>
      <c r="M1" s="12">
        <v>20</v>
      </c>
      <c r="N1" s="12">
        <v>22</v>
      </c>
      <c r="O1" s="12">
        <v>24</v>
      </c>
      <c r="P1" s="12">
        <v>26</v>
      </c>
      <c r="Q1" s="12">
        <v>28</v>
      </c>
      <c r="R1" s="12">
        <v>30</v>
      </c>
      <c r="S1" s="12">
        <v>32</v>
      </c>
      <c r="T1" s="12">
        <v>34</v>
      </c>
      <c r="U1" s="12">
        <v>36</v>
      </c>
      <c r="V1" s="12">
        <v>38</v>
      </c>
      <c r="W1" s="12">
        <v>40</v>
      </c>
    </row>
    <row r="2" spans="1:23" ht="15.75" thickBot="1" x14ac:dyDescent="0.3">
      <c r="A2" s="12" t="s">
        <v>48</v>
      </c>
      <c r="B2" s="24">
        <v>16441.8</v>
      </c>
      <c r="C2" s="24">
        <v>16441.8</v>
      </c>
      <c r="D2" s="24">
        <v>16441.8</v>
      </c>
      <c r="E2" s="24">
        <v>16441.8</v>
      </c>
      <c r="F2" s="24">
        <v>16441.8</v>
      </c>
      <c r="G2" s="24">
        <v>16441.8</v>
      </c>
      <c r="H2" s="24">
        <v>16441.8</v>
      </c>
      <c r="I2" s="24">
        <v>16441.8</v>
      </c>
      <c r="J2" s="24">
        <v>16441.8</v>
      </c>
      <c r="K2" s="24">
        <v>16441.8</v>
      </c>
      <c r="L2" s="24">
        <v>16441.8</v>
      </c>
      <c r="M2" s="24">
        <v>16441.8</v>
      </c>
      <c r="N2" s="24">
        <v>16441.8</v>
      </c>
      <c r="O2" s="24">
        <v>16441.8</v>
      </c>
      <c r="P2" s="24">
        <v>16441.8</v>
      </c>
      <c r="Q2" s="24">
        <v>16441.8</v>
      </c>
      <c r="R2" s="24">
        <v>16441.8</v>
      </c>
      <c r="S2" s="24">
        <v>16441.8</v>
      </c>
      <c r="T2" s="24">
        <v>16441.8</v>
      </c>
      <c r="U2" s="24">
        <v>16441.8</v>
      </c>
      <c r="V2" s="24">
        <v>16441.8</v>
      </c>
      <c r="W2" s="24">
        <v>16441.8</v>
      </c>
    </row>
    <row r="3" spans="1:23" ht="15.75" thickBot="1" x14ac:dyDescent="0.3">
      <c r="A3" s="12" t="s">
        <v>49</v>
      </c>
      <c r="B3" s="24">
        <v>15546</v>
      </c>
      <c r="C3" s="24">
        <v>15546</v>
      </c>
      <c r="D3" s="24">
        <v>15546</v>
      </c>
      <c r="E3" s="24">
        <v>15546</v>
      </c>
      <c r="F3" s="24">
        <v>15546</v>
      </c>
      <c r="G3" s="24">
        <v>15546</v>
      </c>
      <c r="H3" s="24">
        <v>15546</v>
      </c>
      <c r="I3" s="24">
        <v>15546</v>
      </c>
      <c r="J3" s="24">
        <v>15546</v>
      </c>
      <c r="K3" s="24">
        <v>15546</v>
      </c>
      <c r="L3" s="24">
        <v>15546</v>
      </c>
      <c r="M3" s="24">
        <v>15546</v>
      </c>
      <c r="N3" s="24">
        <v>15770.7</v>
      </c>
      <c r="O3" s="24">
        <v>16094.1</v>
      </c>
      <c r="P3" s="24">
        <v>16441.8</v>
      </c>
      <c r="Q3" s="24">
        <v>16441.8</v>
      </c>
      <c r="R3" s="24">
        <v>16441.8</v>
      </c>
      <c r="S3" s="24">
        <v>16441.8</v>
      </c>
      <c r="T3" s="24">
        <v>16441.8</v>
      </c>
      <c r="U3" s="24">
        <v>16441.8</v>
      </c>
      <c r="V3" s="24">
        <v>16441.8</v>
      </c>
      <c r="W3" s="24">
        <v>16441.8</v>
      </c>
    </row>
    <row r="4" spans="1:23" ht="15.75" thickBot="1" x14ac:dyDescent="0.3">
      <c r="A4" s="12" t="s">
        <v>50</v>
      </c>
      <c r="B4" s="22">
        <v>10999.5</v>
      </c>
      <c r="C4" s="22">
        <v>11360.4</v>
      </c>
      <c r="D4" s="22">
        <v>11599.5</v>
      </c>
      <c r="E4" s="22">
        <v>11666.1</v>
      </c>
      <c r="F4" s="22">
        <v>11964.6</v>
      </c>
      <c r="G4" s="22">
        <v>12462.9</v>
      </c>
      <c r="H4" s="24">
        <v>12579</v>
      </c>
      <c r="I4" s="24">
        <v>13052.1</v>
      </c>
      <c r="J4" s="24">
        <v>13188.3</v>
      </c>
      <c r="K4" s="24">
        <v>13596</v>
      </c>
      <c r="L4" s="24">
        <v>14186.1</v>
      </c>
      <c r="M4" s="24">
        <v>14730</v>
      </c>
      <c r="N4" s="24">
        <v>15093.3</v>
      </c>
      <c r="O4" s="24">
        <v>15093.3</v>
      </c>
      <c r="P4" s="24">
        <v>15093.3</v>
      </c>
      <c r="Q4" s="24">
        <v>15093.3</v>
      </c>
      <c r="R4" s="24">
        <v>15471.3</v>
      </c>
      <c r="S4" s="24">
        <v>15471.3</v>
      </c>
      <c r="T4" s="24">
        <v>15857.4</v>
      </c>
      <c r="U4" s="24">
        <v>15857.4</v>
      </c>
      <c r="V4" s="24">
        <v>15857.4</v>
      </c>
      <c r="W4" s="24">
        <v>15857.4</v>
      </c>
    </row>
    <row r="5" spans="1:23" ht="15.75" thickBot="1" x14ac:dyDescent="0.3">
      <c r="A5" s="12" t="s">
        <v>51</v>
      </c>
      <c r="B5" s="22">
        <v>9140.1</v>
      </c>
      <c r="C5" s="22">
        <v>9564.6</v>
      </c>
      <c r="D5" s="22">
        <v>9761.1</v>
      </c>
      <c r="E5" s="22">
        <v>9917.4</v>
      </c>
      <c r="F5" s="22">
        <v>10200</v>
      </c>
      <c r="G5" s="22">
        <v>10479.6</v>
      </c>
      <c r="H5" s="24">
        <v>10802.7</v>
      </c>
      <c r="I5" s="24">
        <v>11124.6</v>
      </c>
      <c r="J5" s="24">
        <v>11447.7</v>
      </c>
      <c r="K5" s="24">
        <v>12462.9</v>
      </c>
      <c r="L5" s="24">
        <v>13319.7</v>
      </c>
      <c r="M5" s="24">
        <v>13319.7</v>
      </c>
      <c r="N5" s="24">
        <v>13319.7</v>
      </c>
      <c r="O5" s="24">
        <v>13319.7</v>
      </c>
      <c r="P5" s="24">
        <v>13388.1</v>
      </c>
      <c r="Q5" s="24">
        <v>13388.1</v>
      </c>
      <c r="R5" s="24">
        <v>13656</v>
      </c>
      <c r="S5" s="24">
        <v>13656</v>
      </c>
      <c r="T5" s="24">
        <v>13656</v>
      </c>
      <c r="U5" s="24">
        <v>13656</v>
      </c>
      <c r="V5" s="24">
        <v>13656</v>
      </c>
      <c r="W5" s="24">
        <v>13656</v>
      </c>
    </row>
    <row r="6" spans="1:23" ht="15.75" thickBot="1" x14ac:dyDescent="0.3">
      <c r="A6" s="12" t="s">
        <v>52</v>
      </c>
      <c r="B6" s="22">
        <v>6931.2</v>
      </c>
      <c r="C6" s="22">
        <v>7614.6</v>
      </c>
      <c r="D6" s="22">
        <v>8114.4</v>
      </c>
      <c r="E6" s="22">
        <v>8114.4</v>
      </c>
      <c r="F6" s="22">
        <v>8145.3</v>
      </c>
      <c r="G6" s="22">
        <v>8494.5</v>
      </c>
      <c r="H6" s="24">
        <v>8540.7000000000007</v>
      </c>
      <c r="I6" s="24">
        <v>8540.7000000000007</v>
      </c>
      <c r="J6" s="24">
        <v>9025.7999999999993</v>
      </c>
      <c r="K6" s="24">
        <v>9884.1</v>
      </c>
      <c r="L6" s="24">
        <v>10387.5</v>
      </c>
      <c r="M6" s="24">
        <v>10890.9</v>
      </c>
      <c r="N6" s="24">
        <v>11177.4</v>
      </c>
      <c r="O6" s="24">
        <v>11467.8</v>
      </c>
      <c r="P6" s="24">
        <v>12030</v>
      </c>
      <c r="Q6" s="24">
        <v>12030</v>
      </c>
      <c r="R6" s="24">
        <v>12270.3</v>
      </c>
      <c r="S6" s="24">
        <v>12270.3</v>
      </c>
      <c r="T6" s="24">
        <v>12270.3</v>
      </c>
      <c r="U6" s="24">
        <v>12270.3</v>
      </c>
      <c r="V6" s="24">
        <v>12270.3</v>
      </c>
      <c r="W6" s="24">
        <v>12270.3</v>
      </c>
    </row>
    <row r="7" spans="1:23" ht="15.75" thickBot="1" x14ac:dyDescent="0.3">
      <c r="A7" s="12" t="s">
        <v>33</v>
      </c>
      <c r="B7" s="22">
        <v>5778</v>
      </c>
      <c r="C7" s="22">
        <v>6509.1</v>
      </c>
      <c r="D7" s="22">
        <v>6959.4</v>
      </c>
      <c r="E7" s="22">
        <v>7044.3</v>
      </c>
      <c r="F7" s="22">
        <v>7325.7</v>
      </c>
      <c r="G7" s="22">
        <v>7493.7</v>
      </c>
      <c r="H7" s="24">
        <v>7863.6</v>
      </c>
      <c r="I7" s="24">
        <v>8135.4</v>
      </c>
      <c r="J7" s="24">
        <v>8486.1</v>
      </c>
      <c r="K7" s="24">
        <v>9022.5</v>
      </c>
      <c r="L7" s="24">
        <v>9277.5</v>
      </c>
      <c r="M7" s="24">
        <v>9530.1</v>
      </c>
      <c r="N7" s="24">
        <v>9816.6</v>
      </c>
      <c r="O7" s="24">
        <v>9816.6</v>
      </c>
      <c r="P7" s="24">
        <v>9816.6</v>
      </c>
      <c r="Q7" s="24">
        <v>9816.6</v>
      </c>
      <c r="R7" s="24">
        <v>9816.6</v>
      </c>
      <c r="S7" s="24">
        <v>9816.6</v>
      </c>
      <c r="T7" s="24">
        <v>9816.6</v>
      </c>
      <c r="U7" s="24">
        <v>9816.6</v>
      </c>
      <c r="V7" s="24">
        <v>9816.6</v>
      </c>
      <c r="W7" s="24">
        <v>9816.6</v>
      </c>
    </row>
    <row r="8" spans="1:23" ht="15.75" thickBot="1" x14ac:dyDescent="0.3">
      <c r="A8" s="12" t="s">
        <v>34</v>
      </c>
      <c r="B8" s="22">
        <v>4985.3999999999996</v>
      </c>
      <c r="C8" s="22">
        <v>5770.8</v>
      </c>
      <c r="D8" s="22">
        <v>6156.3</v>
      </c>
      <c r="E8" s="22">
        <v>6241.8</v>
      </c>
      <c r="F8" s="22">
        <v>6599.1</v>
      </c>
      <c r="G8" s="22">
        <v>6982.8</v>
      </c>
      <c r="H8" s="24">
        <v>7460.4</v>
      </c>
      <c r="I8" s="24">
        <v>7831.8</v>
      </c>
      <c r="J8" s="24">
        <v>8089.8</v>
      </c>
      <c r="K8" s="24">
        <v>8238.2999999999993</v>
      </c>
      <c r="L8" s="24">
        <v>8324.1</v>
      </c>
      <c r="M8" s="24">
        <v>8324.1</v>
      </c>
      <c r="N8" s="24">
        <v>8324.1</v>
      </c>
      <c r="O8" s="24">
        <v>8324.1</v>
      </c>
      <c r="P8" s="24">
        <v>8324.1</v>
      </c>
      <c r="Q8" s="24">
        <v>8324.1</v>
      </c>
      <c r="R8" s="24">
        <v>8324.1</v>
      </c>
      <c r="S8" s="24">
        <v>8324.1</v>
      </c>
      <c r="T8" s="24">
        <v>8324.1</v>
      </c>
      <c r="U8" s="24">
        <v>8324.1</v>
      </c>
      <c r="V8" s="24">
        <v>8324.1</v>
      </c>
      <c r="W8" s="24">
        <v>8324.1</v>
      </c>
    </row>
    <row r="9" spans="1:23" ht="15.75" thickBot="1" x14ac:dyDescent="0.3">
      <c r="A9" s="12" t="s">
        <v>53</v>
      </c>
      <c r="B9" s="22">
        <v>4383.3</v>
      </c>
      <c r="C9" s="22">
        <v>4968.6000000000004</v>
      </c>
      <c r="D9" s="22">
        <v>5362.5</v>
      </c>
      <c r="E9" s="22">
        <v>5847.3</v>
      </c>
      <c r="F9" s="22">
        <v>6127.8</v>
      </c>
      <c r="G9" s="22">
        <v>6435</v>
      </c>
      <c r="H9" s="24">
        <v>6633.9</v>
      </c>
      <c r="I9" s="24">
        <v>6960.6</v>
      </c>
      <c r="J9" s="24">
        <v>7131.3</v>
      </c>
      <c r="K9" s="24">
        <v>7131.3</v>
      </c>
      <c r="L9" s="24">
        <v>7131.3</v>
      </c>
      <c r="M9" s="24">
        <v>7131.3</v>
      </c>
      <c r="N9" s="24">
        <v>7131.3</v>
      </c>
      <c r="O9" s="24">
        <v>7131.3</v>
      </c>
      <c r="P9" s="24">
        <v>7131.3</v>
      </c>
      <c r="Q9" s="24">
        <v>7131.3</v>
      </c>
      <c r="R9" s="24">
        <v>7131.3</v>
      </c>
      <c r="S9" s="24">
        <v>7131.3</v>
      </c>
      <c r="T9" s="24">
        <v>7131.3</v>
      </c>
      <c r="U9" s="24">
        <v>7131.3</v>
      </c>
      <c r="V9" s="24">
        <v>7131.3</v>
      </c>
      <c r="W9" s="24">
        <v>7131.3</v>
      </c>
    </row>
    <row r="10" spans="1:23" ht="15.75" thickBot="1" x14ac:dyDescent="0.3">
      <c r="A10" s="12" t="s">
        <v>54</v>
      </c>
      <c r="B10" s="22">
        <v>3787.5</v>
      </c>
      <c r="C10" s="22">
        <v>4313.3999999999996</v>
      </c>
      <c r="D10" s="22">
        <v>4967.7</v>
      </c>
      <c r="E10" s="22">
        <v>5135.7</v>
      </c>
      <c r="F10" s="22">
        <v>5241.3</v>
      </c>
      <c r="G10" s="22">
        <v>5241.3</v>
      </c>
      <c r="H10" s="24">
        <v>5241.3</v>
      </c>
      <c r="I10" s="24">
        <v>5241.3</v>
      </c>
      <c r="J10" s="24">
        <v>5241.3</v>
      </c>
      <c r="K10" s="24">
        <v>5241.3</v>
      </c>
      <c r="L10" s="24">
        <v>5241.3</v>
      </c>
      <c r="M10" s="24">
        <v>5241.3</v>
      </c>
      <c r="N10" s="24">
        <v>5241.3</v>
      </c>
      <c r="O10" s="24">
        <v>5241.3</v>
      </c>
      <c r="P10" s="24">
        <v>5241.3</v>
      </c>
      <c r="Q10" s="24">
        <v>5241.3</v>
      </c>
      <c r="R10" s="24">
        <v>5241.3</v>
      </c>
      <c r="S10" s="24">
        <v>5241.3</v>
      </c>
      <c r="T10" s="24">
        <v>5241.3</v>
      </c>
      <c r="U10" s="24">
        <v>5241.3</v>
      </c>
      <c r="V10" s="24">
        <v>5241.3</v>
      </c>
      <c r="W10" s="24">
        <v>5241.3</v>
      </c>
    </row>
    <row r="11" spans="1:23" ht="15.75" thickBot="1" x14ac:dyDescent="0.3">
      <c r="A11" s="12" t="s">
        <v>55</v>
      </c>
      <c r="B11" s="22">
        <v>3287.1</v>
      </c>
      <c r="C11" s="22">
        <v>3421.8</v>
      </c>
      <c r="D11" s="22">
        <v>4136.3999999999996</v>
      </c>
      <c r="E11" s="22">
        <v>4136.3999999999996</v>
      </c>
      <c r="F11" s="22">
        <v>4136.3999999999996</v>
      </c>
      <c r="G11" s="22">
        <v>4136.3999999999996</v>
      </c>
      <c r="H11" s="24">
        <v>4136.3999999999996</v>
      </c>
      <c r="I11" s="24">
        <v>4136.3999999999996</v>
      </c>
      <c r="J11" s="24">
        <v>4136.3999999999996</v>
      </c>
      <c r="K11" s="24">
        <v>4136.3999999999996</v>
      </c>
      <c r="L11" s="24">
        <v>4136.3999999999996</v>
      </c>
      <c r="M11" s="24">
        <v>4136.3999999999996</v>
      </c>
      <c r="N11" s="24">
        <v>4136.3999999999996</v>
      </c>
      <c r="O11" s="24">
        <v>4136.3999999999996</v>
      </c>
      <c r="P11" s="24">
        <v>4136.3999999999996</v>
      </c>
      <c r="Q11" s="24">
        <v>4136.3999999999996</v>
      </c>
      <c r="R11" s="24">
        <v>4136.3999999999996</v>
      </c>
      <c r="S11" s="24">
        <v>4136.3999999999996</v>
      </c>
      <c r="T11" s="24">
        <v>4136.3999999999996</v>
      </c>
      <c r="U11" s="24">
        <v>4136.3999999999996</v>
      </c>
      <c r="V11" s="24">
        <v>4136.3999999999996</v>
      </c>
      <c r="W11" s="24">
        <v>4136.3999999999996</v>
      </c>
    </row>
    <row r="12" spans="1:23" ht="15.75" thickBot="1" x14ac:dyDescent="0.3">
      <c r="A12" s="14" t="s">
        <v>35</v>
      </c>
      <c r="B12" s="24">
        <v>8054.7</v>
      </c>
      <c r="C12" s="24">
        <v>8054.7</v>
      </c>
      <c r="D12" s="24">
        <v>8054.7</v>
      </c>
      <c r="E12" s="24">
        <v>8054.7</v>
      </c>
      <c r="F12" s="24">
        <v>8054.7</v>
      </c>
      <c r="G12" s="24">
        <v>8054.7</v>
      </c>
      <c r="H12" s="24">
        <v>8054.7</v>
      </c>
      <c r="I12" s="24">
        <v>8054.7</v>
      </c>
      <c r="J12" s="24">
        <v>8054.7</v>
      </c>
      <c r="K12" s="24">
        <v>8054.7</v>
      </c>
      <c r="L12" s="24">
        <v>8054.7</v>
      </c>
      <c r="M12" s="24">
        <v>8054.7</v>
      </c>
      <c r="N12" s="24">
        <v>8463</v>
      </c>
      <c r="O12" s="24">
        <v>8767.5</v>
      </c>
      <c r="P12" s="24">
        <v>9104.1</v>
      </c>
      <c r="Q12" s="24">
        <v>9104.1</v>
      </c>
      <c r="R12" s="24">
        <v>9560.1</v>
      </c>
      <c r="S12" s="24">
        <v>9560.1</v>
      </c>
      <c r="T12" s="24">
        <v>10037.4</v>
      </c>
      <c r="U12" s="24">
        <v>10037.4</v>
      </c>
      <c r="V12" s="24">
        <v>10540.2</v>
      </c>
      <c r="W12" s="24">
        <v>10540.2</v>
      </c>
    </row>
    <row r="13" spans="1:23" ht="15.75" thickBot="1" x14ac:dyDescent="0.3">
      <c r="A13" s="14" t="s">
        <v>36</v>
      </c>
      <c r="B13" s="24">
        <v>4530</v>
      </c>
      <c r="C13" s="24">
        <v>4872.6000000000004</v>
      </c>
      <c r="D13" s="24">
        <v>5012.3999999999996</v>
      </c>
      <c r="E13" s="24">
        <v>5150.1000000000004</v>
      </c>
      <c r="F13" s="24">
        <v>5387.1</v>
      </c>
      <c r="G13" s="24">
        <v>5621.7</v>
      </c>
      <c r="H13" s="24">
        <v>5859.3</v>
      </c>
      <c r="I13" s="24">
        <v>6216</v>
      </c>
      <c r="J13" s="24">
        <v>6529.2</v>
      </c>
      <c r="K13" s="24">
        <v>6827.1</v>
      </c>
      <c r="L13" s="24">
        <v>7071.3</v>
      </c>
      <c r="M13" s="24">
        <v>7309.2</v>
      </c>
      <c r="N13" s="24">
        <v>7658.4</v>
      </c>
      <c r="O13" s="24">
        <v>7945.2</v>
      </c>
      <c r="P13" s="24">
        <v>8272.7999999999993</v>
      </c>
      <c r="Q13" s="24">
        <v>8272.7999999999993</v>
      </c>
      <c r="R13" s="24">
        <v>8437.7999999999993</v>
      </c>
      <c r="S13" s="24">
        <v>8437.7999999999993</v>
      </c>
      <c r="T13" s="24">
        <v>8437.7999999999993</v>
      </c>
      <c r="U13" s="24">
        <v>8437.7999999999993</v>
      </c>
      <c r="V13" s="24">
        <v>8437.7999999999993</v>
      </c>
      <c r="W13" s="24">
        <v>8437.7999999999993</v>
      </c>
    </row>
    <row r="14" spans="1:23" ht="15.75" thickBot="1" x14ac:dyDescent="0.3">
      <c r="A14" s="14" t="s">
        <v>37</v>
      </c>
      <c r="B14" s="96">
        <v>4137</v>
      </c>
      <c r="C14" s="24">
        <v>4309.2</v>
      </c>
      <c r="D14" s="24">
        <v>4486.2</v>
      </c>
      <c r="E14" s="24">
        <v>4544.1000000000004</v>
      </c>
      <c r="F14" s="24">
        <v>4728.8999999999996</v>
      </c>
      <c r="G14" s="24">
        <v>5093.7</v>
      </c>
      <c r="H14" s="24">
        <v>5473.2</v>
      </c>
      <c r="I14" s="24">
        <v>5652</v>
      </c>
      <c r="J14" s="24">
        <v>5859</v>
      </c>
      <c r="K14" s="24">
        <v>6071.7</v>
      </c>
      <c r="L14" s="24">
        <v>6455.1</v>
      </c>
      <c r="M14" s="24">
        <v>6713.7</v>
      </c>
      <c r="N14" s="24">
        <v>6868.2</v>
      </c>
      <c r="O14" s="24">
        <v>7032.6</v>
      </c>
      <c r="P14" s="24">
        <v>7256.7</v>
      </c>
      <c r="Q14" s="24">
        <v>7256.7</v>
      </c>
      <c r="R14" s="24">
        <v>7256.7</v>
      </c>
      <c r="S14" s="24">
        <v>7256.7</v>
      </c>
      <c r="T14" s="24">
        <v>7256.7</v>
      </c>
      <c r="U14" s="24">
        <v>7256.7</v>
      </c>
      <c r="V14" s="24">
        <v>7256.7</v>
      </c>
      <c r="W14" s="24">
        <v>7256.7</v>
      </c>
    </row>
    <row r="15" spans="1:23" ht="15.75" thickBot="1" x14ac:dyDescent="0.3">
      <c r="A15" s="14" t="s">
        <v>38</v>
      </c>
      <c r="B15" s="96">
        <v>3660.6</v>
      </c>
      <c r="C15" s="24">
        <v>4006.8</v>
      </c>
      <c r="D15" s="24">
        <v>4113.3</v>
      </c>
      <c r="E15" s="24">
        <v>4186.5</v>
      </c>
      <c r="F15" s="24">
        <v>4423.8</v>
      </c>
      <c r="G15" s="24">
        <v>4792.8</v>
      </c>
      <c r="H15" s="24">
        <v>4975.8</v>
      </c>
      <c r="I15" s="24">
        <v>5155.5</v>
      </c>
      <c r="J15" s="24">
        <v>5375.7</v>
      </c>
      <c r="K15" s="24">
        <v>5547.9</v>
      </c>
      <c r="L15" s="24">
        <v>5703.6</v>
      </c>
      <c r="M15" s="24">
        <v>5890.2</v>
      </c>
      <c r="N15" s="24">
        <v>6012.9</v>
      </c>
      <c r="O15" s="24">
        <v>6109.8</v>
      </c>
      <c r="P15" s="24">
        <v>6109.8</v>
      </c>
      <c r="Q15" s="24">
        <v>6109.8</v>
      </c>
      <c r="R15" s="24">
        <v>6109.8</v>
      </c>
      <c r="S15" s="24">
        <v>6109.8</v>
      </c>
      <c r="T15" s="24">
        <v>6109.8</v>
      </c>
      <c r="U15" s="24">
        <v>6109.8</v>
      </c>
      <c r="V15" s="24">
        <v>6109.8</v>
      </c>
      <c r="W15" s="24">
        <v>6109.8</v>
      </c>
    </row>
    <row r="16" spans="1:23" ht="15.75" thickBot="1" x14ac:dyDescent="0.3">
      <c r="A16" s="14" t="s">
        <v>39</v>
      </c>
      <c r="B16" s="96">
        <v>3213</v>
      </c>
      <c r="C16" s="24">
        <v>3559.2</v>
      </c>
      <c r="D16" s="24">
        <v>3651.9</v>
      </c>
      <c r="E16" s="24">
        <v>3848.4</v>
      </c>
      <c r="F16" s="24">
        <v>4080.6</v>
      </c>
      <c r="G16" s="24">
        <v>4423.2</v>
      </c>
      <c r="H16" s="24">
        <v>4582.8</v>
      </c>
      <c r="I16" s="24">
        <v>4806.6000000000004</v>
      </c>
      <c r="J16" s="24">
        <v>5026.5</v>
      </c>
      <c r="K16" s="24">
        <v>5199.6000000000004</v>
      </c>
      <c r="L16" s="24">
        <v>5358.6</v>
      </c>
      <c r="M16" s="24">
        <v>5552.1</v>
      </c>
      <c r="N16" s="24">
        <v>5552.1</v>
      </c>
      <c r="O16" s="24">
        <v>5552.1</v>
      </c>
      <c r="P16" s="24">
        <v>5552.1</v>
      </c>
      <c r="Q16" s="24">
        <v>5552.1</v>
      </c>
      <c r="R16" s="24">
        <v>5552.1</v>
      </c>
      <c r="S16" s="24">
        <v>5552.1</v>
      </c>
      <c r="T16" s="24">
        <v>5552.1</v>
      </c>
      <c r="U16" s="24">
        <v>5552.1</v>
      </c>
      <c r="V16" s="24">
        <v>5552.1</v>
      </c>
      <c r="W16" s="24">
        <v>5552.1</v>
      </c>
    </row>
    <row r="17" spans="1:23" ht="15.75" thickBot="1" x14ac:dyDescent="0.3">
      <c r="A17" s="14" t="s">
        <v>40</v>
      </c>
      <c r="B17" s="24">
        <v>5308.2</v>
      </c>
      <c r="C17" s="24">
        <v>5308.2</v>
      </c>
      <c r="D17" s="24">
        <v>5308.2</v>
      </c>
      <c r="E17" s="24">
        <v>5308.2</v>
      </c>
      <c r="F17" s="24">
        <v>5308.2</v>
      </c>
      <c r="G17" s="24">
        <v>5308.2</v>
      </c>
      <c r="H17" s="24">
        <v>5308.2</v>
      </c>
      <c r="I17" s="24">
        <v>5428.5</v>
      </c>
      <c r="J17" s="24">
        <v>5580.3</v>
      </c>
      <c r="K17" s="24">
        <v>5758.2</v>
      </c>
      <c r="L17" s="24">
        <v>5938.8</v>
      </c>
      <c r="M17" s="24">
        <v>6226.5</v>
      </c>
      <c r="N17" s="24">
        <v>6470.7</v>
      </c>
      <c r="O17" s="24">
        <v>6726.6</v>
      </c>
      <c r="P17" s="24">
        <v>7119.3</v>
      </c>
      <c r="Q17" s="24">
        <v>7119.3</v>
      </c>
      <c r="R17" s="24">
        <v>7474.8</v>
      </c>
      <c r="S17" s="24">
        <v>7474.8</v>
      </c>
      <c r="T17" s="24">
        <v>7848.9</v>
      </c>
      <c r="U17" s="24">
        <v>7848.9</v>
      </c>
      <c r="V17" s="24">
        <v>8241.9</v>
      </c>
      <c r="W17" s="24">
        <v>8241.9</v>
      </c>
    </row>
    <row r="18" spans="1:23" ht="15.75" thickBot="1" x14ac:dyDescent="0.3">
      <c r="A18" s="14" t="s">
        <v>41</v>
      </c>
      <c r="B18" s="24">
        <v>4345.5</v>
      </c>
      <c r="C18" s="24">
        <v>4345.5</v>
      </c>
      <c r="D18" s="24">
        <v>4345.5</v>
      </c>
      <c r="E18" s="24">
        <v>4345.5</v>
      </c>
      <c r="F18" s="24">
        <v>4345.5</v>
      </c>
      <c r="G18" s="24">
        <v>4345.5</v>
      </c>
      <c r="H18" s="24">
        <v>4537.5</v>
      </c>
      <c r="I18" s="24">
        <v>4656.6000000000004</v>
      </c>
      <c r="J18" s="24">
        <v>4798.8</v>
      </c>
      <c r="K18" s="24">
        <v>4953.6000000000004</v>
      </c>
      <c r="L18" s="24">
        <v>5232.3</v>
      </c>
      <c r="M18" s="24">
        <v>5373.6</v>
      </c>
      <c r="N18" s="24">
        <v>5613.9</v>
      </c>
      <c r="O18" s="24">
        <v>5747.4</v>
      </c>
      <c r="P18" s="24">
        <v>6075.6</v>
      </c>
      <c r="Q18" s="24">
        <v>6075.6</v>
      </c>
      <c r="R18" s="24">
        <v>6197.7</v>
      </c>
      <c r="S18" s="24">
        <v>6197.7</v>
      </c>
      <c r="T18" s="24">
        <v>6197.7</v>
      </c>
      <c r="U18" s="24">
        <v>6197.7</v>
      </c>
      <c r="V18" s="24">
        <v>6197.7</v>
      </c>
      <c r="W18" s="24">
        <v>6197.7</v>
      </c>
    </row>
    <row r="19" spans="1:23" ht="15.75" thickBot="1" x14ac:dyDescent="0.3">
      <c r="A19" s="14" t="s">
        <v>42</v>
      </c>
      <c r="B19" s="24">
        <v>3020.7</v>
      </c>
      <c r="C19" s="24">
        <v>3296.7</v>
      </c>
      <c r="D19" s="24">
        <v>3423.3</v>
      </c>
      <c r="E19" s="24">
        <v>3590.1</v>
      </c>
      <c r="F19" s="24">
        <v>3720.9</v>
      </c>
      <c r="G19" s="24">
        <v>3945</v>
      </c>
      <c r="H19" s="24">
        <v>4071.6</v>
      </c>
      <c r="I19" s="24">
        <v>4295.7</v>
      </c>
      <c r="J19" s="24">
        <v>4482.6000000000004</v>
      </c>
      <c r="K19" s="24">
        <v>4609.8</v>
      </c>
      <c r="L19" s="24">
        <v>4745.3999999999996</v>
      </c>
      <c r="M19" s="24">
        <v>4797.6000000000004</v>
      </c>
      <c r="N19" s="24">
        <v>4974.3</v>
      </c>
      <c r="O19" s="24">
        <v>5068.8</v>
      </c>
      <c r="P19" s="24">
        <v>5429.1</v>
      </c>
      <c r="Q19" s="24">
        <v>5429.1</v>
      </c>
      <c r="R19" s="24">
        <v>5429.1</v>
      </c>
      <c r="S19" s="24">
        <v>5429.1</v>
      </c>
      <c r="T19" s="24">
        <v>5429.1</v>
      </c>
      <c r="U19" s="24">
        <v>5429.1</v>
      </c>
      <c r="V19" s="24">
        <v>5429.1</v>
      </c>
      <c r="W19" s="24">
        <v>5429.1</v>
      </c>
    </row>
    <row r="20" spans="1:23" ht="15.75" thickBot="1" x14ac:dyDescent="0.3">
      <c r="A20" s="14" t="s">
        <v>43</v>
      </c>
      <c r="B20" s="24">
        <v>2612.6999999999998</v>
      </c>
      <c r="C20" s="24">
        <v>2875.2</v>
      </c>
      <c r="D20" s="24">
        <v>3002.1</v>
      </c>
      <c r="E20" s="24">
        <v>3125.4</v>
      </c>
      <c r="F20" s="24">
        <v>3254.1</v>
      </c>
      <c r="G20" s="24">
        <v>3543.3</v>
      </c>
      <c r="H20" s="24">
        <v>3656.4</v>
      </c>
      <c r="I20" s="24">
        <v>3874.8</v>
      </c>
      <c r="J20" s="24">
        <v>3941.4</v>
      </c>
      <c r="K20" s="24">
        <v>3990</v>
      </c>
      <c r="L20" s="24">
        <v>4046.7</v>
      </c>
      <c r="M20" s="24">
        <v>4046.7</v>
      </c>
      <c r="N20" s="24">
        <v>4046.7</v>
      </c>
      <c r="O20" s="24">
        <v>4046.7</v>
      </c>
      <c r="P20" s="24">
        <v>4046.7</v>
      </c>
      <c r="Q20" s="24">
        <v>4046.7</v>
      </c>
      <c r="R20" s="24">
        <v>4046.7</v>
      </c>
      <c r="S20" s="24">
        <v>4046.7</v>
      </c>
      <c r="T20" s="24">
        <v>4046.7</v>
      </c>
      <c r="U20" s="24">
        <v>4046.7</v>
      </c>
      <c r="V20" s="24">
        <v>4046.7</v>
      </c>
      <c r="W20" s="24">
        <v>4046.7</v>
      </c>
    </row>
    <row r="21" spans="1:23" ht="15.75" thickBot="1" x14ac:dyDescent="0.3">
      <c r="A21" s="14" t="s">
        <v>44</v>
      </c>
      <c r="B21" s="24">
        <v>2393.4</v>
      </c>
      <c r="C21" s="24">
        <v>2554.8000000000002</v>
      </c>
      <c r="D21" s="24">
        <v>2678.1</v>
      </c>
      <c r="E21" s="24">
        <v>2804.4</v>
      </c>
      <c r="F21" s="24">
        <v>3001.5</v>
      </c>
      <c r="G21" s="24">
        <v>3207</v>
      </c>
      <c r="H21" s="24">
        <v>3376.2</v>
      </c>
      <c r="I21" s="24">
        <v>3396.6</v>
      </c>
      <c r="J21" s="24">
        <v>3396.6</v>
      </c>
      <c r="K21" s="24">
        <v>3396.6</v>
      </c>
      <c r="L21" s="24">
        <v>3396.6</v>
      </c>
      <c r="M21" s="24">
        <v>3396.6</v>
      </c>
      <c r="N21" s="24">
        <v>3396.6</v>
      </c>
      <c r="O21" s="24">
        <v>3396.6</v>
      </c>
      <c r="P21" s="24">
        <v>3396.6</v>
      </c>
      <c r="Q21" s="24">
        <v>3396.6</v>
      </c>
      <c r="R21" s="24">
        <v>3396.6</v>
      </c>
      <c r="S21" s="24">
        <v>3396.6</v>
      </c>
      <c r="T21" s="24">
        <v>3396.6</v>
      </c>
      <c r="U21" s="24">
        <v>3396.6</v>
      </c>
      <c r="V21" s="24">
        <v>3396.6</v>
      </c>
      <c r="W21" s="24">
        <v>3396.6</v>
      </c>
    </row>
    <row r="22" spans="1:23" ht="15.75" thickBot="1" x14ac:dyDescent="0.3">
      <c r="A22" s="14" t="s">
        <v>45</v>
      </c>
      <c r="B22" s="24">
        <v>2194.5</v>
      </c>
      <c r="C22" s="24">
        <v>2307</v>
      </c>
      <c r="D22" s="24">
        <v>2431.8000000000002</v>
      </c>
      <c r="E22" s="24">
        <v>2555.4</v>
      </c>
      <c r="F22" s="24">
        <v>2664</v>
      </c>
      <c r="G22" s="24">
        <v>2664</v>
      </c>
      <c r="H22" s="24">
        <v>2664</v>
      </c>
      <c r="I22" s="24">
        <v>2664</v>
      </c>
      <c r="J22" s="24">
        <v>2664</v>
      </c>
      <c r="K22" s="24">
        <v>2664</v>
      </c>
      <c r="L22" s="24">
        <v>2664</v>
      </c>
      <c r="M22" s="24">
        <v>2664</v>
      </c>
      <c r="N22" s="24">
        <v>2664</v>
      </c>
      <c r="O22" s="24">
        <v>2664</v>
      </c>
      <c r="P22" s="24">
        <v>2664</v>
      </c>
      <c r="Q22" s="24">
        <v>2664</v>
      </c>
      <c r="R22" s="24">
        <v>2664</v>
      </c>
      <c r="S22" s="24">
        <v>2664</v>
      </c>
      <c r="T22" s="24">
        <v>2664</v>
      </c>
      <c r="U22" s="24">
        <v>2664</v>
      </c>
      <c r="V22" s="24">
        <v>2664</v>
      </c>
      <c r="W22" s="24">
        <v>2664</v>
      </c>
    </row>
    <row r="23" spans="1:23" ht="15.75" thickBot="1" x14ac:dyDescent="0.3">
      <c r="A23" s="14" t="s">
        <v>46</v>
      </c>
      <c r="B23" s="24">
        <v>1981.2</v>
      </c>
      <c r="C23" s="24">
        <v>2105.6999999999998</v>
      </c>
      <c r="D23" s="24">
        <v>2233.5</v>
      </c>
      <c r="E23" s="24">
        <v>2233.5</v>
      </c>
      <c r="F23" s="24">
        <v>2233.5</v>
      </c>
      <c r="G23" s="24">
        <v>2233.5</v>
      </c>
      <c r="H23" s="24">
        <v>2233.5</v>
      </c>
      <c r="I23" s="24">
        <v>2233.5</v>
      </c>
      <c r="J23" s="24">
        <v>2233.5</v>
      </c>
      <c r="K23" s="24">
        <v>2233.5</v>
      </c>
      <c r="L23" s="24">
        <v>2233.5</v>
      </c>
      <c r="M23" s="24">
        <v>2233.5</v>
      </c>
      <c r="N23" s="24">
        <v>2233.5</v>
      </c>
      <c r="O23" s="24">
        <v>2233.5</v>
      </c>
      <c r="P23" s="24">
        <v>2233.5</v>
      </c>
      <c r="Q23" s="24">
        <v>2233.5</v>
      </c>
      <c r="R23" s="24">
        <v>2233.5</v>
      </c>
      <c r="S23" s="24">
        <v>2233.5</v>
      </c>
      <c r="T23" s="24">
        <v>2233.5</v>
      </c>
      <c r="U23" s="24">
        <v>2233.5</v>
      </c>
      <c r="V23" s="24">
        <v>2233.5</v>
      </c>
      <c r="W23" s="24">
        <v>2233.5</v>
      </c>
    </row>
    <row r="24" spans="1:23" ht="15.75" thickBot="1" x14ac:dyDescent="0.3">
      <c r="A24" s="14" t="s">
        <v>47</v>
      </c>
      <c r="B24" s="24">
        <v>1884</v>
      </c>
      <c r="C24" s="24">
        <v>1884</v>
      </c>
      <c r="D24" s="24">
        <v>1884</v>
      </c>
      <c r="E24" s="24">
        <v>1884</v>
      </c>
      <c r="F24" s="24">
        <v>1884</v>
      </c>
      <c r="G24" s="24">
        <v>1884</v>
      </c>
      <c r="H24" s="24">
        <v>1884</v>
      </c>
      <c r="I24" s="24">
        <v>1884</v>
      </c>
      <c r="J24" s="24">
        <v>1884</v>
      </c>
      <c r="K24" s="24">
        <v>1884</v>
      </c>
      <c r="L24" s="24">
        <v>1884</v>
      </c>
      <c r="M24" s="24">
        <v>1884</v>
      </c>
      <c r="N24" s="24">
        <v>1884</v>
      </c>
      <c r="O24" s="24">
        <v>1884</v>
      </c>
      <c r="P24" s="24">
        <v>1884</v>
      </c>
      <c r="Q24" s="24">
        <v>1884</v>
      </c>
      <c r="R24" s="24">
        <v>1884</v>
      </c>
      <c r="S24" s="24">
        <v>1884</v>
      </c>
      <c r="T24" s="24">
        <v>1884</v>
      </c>
      <c r="U24" s="24">
        <v>1884</v>
      </c>
      <c r="V24" s="24">
        <v>1884</v>
      </c>
      <c r="W24" s="24">
        <v>1884</v>
      </c>
    </row>
    <row r="25" spans="1:23" ht="15.75" thickBot="1" x14ac:dyDescent="0.3">
      <c r="A25" s="14" t="s">
        <v>56</v>
      </c>
      <c r="B25" s="24">
        <v>1680.9</v>
      </c>
      <c r="C25" s="24">
        <v>1680.9</v>
      </c>
      <c r="D25" s="24">
        <v>1680.9</v>
      </c>
      <c r="E25" s="24">
        <v>1680.9</v>
      </c>
      <c r="F25" s="24">
        <v>1680.9</v>
      </c>
      <c r="G25" s="24">
        <v>1680.9</v>
      </c>
      <c r="H25" s="24">
        <v>1680.9</v>
      </c>
      <c r="I25" s="24">
        <v>1680.9</v>
      </c>
      <c r="J25" s="24">
        <v>1680.9</v>
      </c>
      <c r="K25" s="24">
        <v>1680.9</v>
      </c>
      <c r="L25" s="24">
        <v>1680.9</v>
      </c>
      <c r="M25" s="24">
        <v>1680.9</v>
      </c>
      <c r="N25" s="24">
        <v>1680.9</v>
      </c>
      <c r="O25" s="24">
        <v>1680.9</v>
      </c>
      <c r="P25" s="24">
        <v>1680.9</v>
      </c>
      <c r="Q25" s="24">
        <v>1680.9</v>
      </c>
      <c r="R25" s="24">
        <v>1680.9</v>
      </c>
      <c r="S25" s="24">
        <v>1680.9</v>
      </c>
      <c r="T25" s="24">
        <v>1680.9</v>
      </c>
      <c r="U25" s="24">
        <v>1680.9</v>
      </c>
      <c r="V25" s="24">
        <v>1680.9</v>
      </c>
      <c r="W25" s="24">
        <v>1680.9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6ADAB-6DE0-4E6F-82C3-14EBA496EF40}">
  <sheetPr codeName="Sheet5">
    <tabColor rgb="FF0070C0"/>
  </sheetPr>
  <dimension ref="A1:W25"/>
  <sheetViews>
    <sheetView workbookViewId="0">
      <selection activeCell="A2" sqref="A2:A25"/>
    </sheetView>
  </sheetViews>
  <sheetFormatPr defaultColWidth="9.140625" defaultRowHeight="15" x14ac:dyDescent="0.25"/>
  <cols>
    <col min="1" max="1" width="18.28515625" style="11" bestFit="1" customWidth="1"/>
    <col min="2" max="16384" width="9.140625" style="11"/>
  </cols>
  <sheetData>
    <row r="1" spans="1:23" x14ac:dyDescent="0.25">
      <c r="A1" s="12"/>
      <c r="B1" s="12">
        <v>0</v>
      </c>
      <c r="C1" s="12">
        <v>2</v>
      </c>
      <c r="D1" s="12">
        <v>3</v>
      </c>
      <c r="E1" s="12">
        <v>4</v>
      </c>
      <c r="F1" s="12">
        <v>6</v>
      </c>
      <c r="G1" s="12">
        <v>8</v>
      </c>
      <c r="H1" s="12">
        <v>10</v>
      </c>
      <c r="I1" s="12">
        <v>12</v>
      </c>
      <c r="J1" s="12">
        <v>14</v>
      </c>
      <c r="K1" s="12">
        <v>16</v>
      </c>
      <c r="L1" s="12">
        <v>18</v>
      </c>
      <c r="M1" s="12">
        <v>20</v>
      </c>
      <c r="N1" s="12">
        <v>22</v>
      </c>
      <c r="O1" s="12">
        <v>24</v>
      </c>
      <c r="P1" s="12">
        <v>26</v>
      </c>
      <c r="Q1" s="12">
        <v>28</v>
      </c>
      <c r="R1" s="12">
        <v>30</v>
      </c>
      <c r="S1" s="12">
        <v>32</v>
      </c>
      <c r="T1" s="12">
        <v>34</v>
      </c>
      <c r="U1" s="12">
        <v>36</v>
      </c>
      <c r="V1" s="12">
        <v>38</v>
      </c>
      <c r="W1" s="12">
        <v>40</v>
      </c>
    </row>
    <row r="2" spans="1:23" x14ac:dyDescent="0.25">
      <c r="A2" s="12" t="s">
        <v>48</v>
      </c>
      <c r="B2" s="13">
        <v>16025.1</v>
      </c>
      <c r="C2" s="13">
        <v>16025.1</v>
      </c>
      <c r="D2" s="13">
        <v>16025.1</v>
      </c>
      <c r="E2" s="13">
        <v>16025.1</v>
      </c>
      <c r="F2" s="13">
        <v>16025.1</v>
      </c>
      <c r="G2" s="13">
        <v>16025.1</v>
      </c>
      <c r="H2" s="13">
        <v>16025.1</v>
      </c>
      <c r="I2" s="13">
        <v>16025.1</v>
      </c>
      <c r="J2" s="13">
        <v>16025.1</v>
      </c>
      <c r="K2" s="13">
        <v>16025.1</v>
      </c>
      <c r="L2" s="13">
        <v>16025.1</v>
      </c>
      <c r="M2" s="13">
        <v>16025.1</v>
      </c>
      <c r="N2" s="13">
        <v>16025.1</v>
      </c>
      <c r="O2" s="13">
        <v>16025.1</v>
      </c>
      <c r="P2" s="13">
        <v>16025.1</v>
      </c>
      <c r="Q2" s="13">
        <v>16025.1</v>
      </c>
      <c r="R2" s="13">
        <v>16025.1</v>
      </c>
      <c r="S2" s="13">
        <v>16025.1</v>
      </c>
      <c r="T2" s="13">
        <v>16025.1</v>
      </c>
      <c r="U2" s="13">
        <v>16025.1</v>
      </c>
      <c r="V2" s="13">
        <v>16025.1</v>
      </c>
      <c r="W2" s="13">
        <v>16025.1</v>
      </c>
    </row>
    <row r="3" spans="1:23" x14ac:dyDescent="0.25">
      <c r="A3" s="12" t="s">
        <v>49</v>
      </c>
      <c r="B3" s="13">
        <v>15078.6</v>
      </c>
      <c r="C3" s="13">
        <v>15078.6</v>
      </c>
      <c r="D3" s="13">
        <v>15078.6</v>
      </c>
      <c r="E3" s="13">
        <v>15078.6</v>
      </c>
      <c r="F3" s="13">
        <v>15078.6</v>
      </c>
      <c r="G3" s="13">
        <v>15078.6</v>
      </c>
      <c r="H3" s="13">
        <v>15078.6</v>
      </c>
      <c r="I3" s="13">
        <v>15078.6</v>
      </c>
      <c r="J3" s="13">
        <v>15078.6</v>
      </c>
      <c r="K3" s="13">
        <v>15078.6</v>
      </c>
      <c r="L3" s="13">
        <v>15078.6</v>
      </c>
      <c r="M3" s="13">
        <v>15078.6</v>
      </c>
      <c r="N3" s="13">
        <v>15296.4</v>
      </c>
      <c r="O3" s="13">
        <v>15610.2</v>
      </c>
      <c r="P3" s="13">
        <v>16025.1</v>
      </c>
      <c r="Q3" s="13">
        <v>16025.1</v>
      </c>
      <c r="R3" s="13">
        <v>16025.1</v>
      </c>
      <c r="S3" s="13">
        <v>16025.1</v>
      </c>
      <c r="T3" s="13">
        <v>16025.1</v>
      </c>
      <c r="U3" s="13">
        <v>16025.1</v>
      </c>
      <c r="V3" s="13">
        <v>16025.1</v>
      </c>
      <c r="W3" s="13">
        <v>16025.1</v>
      </c>
    </row>
    <row r="4" spans="1:23" x14ac:dyDescent="0.25">
      <c r="A4" s="12" t="s">
        <v>50</v>
      </c>
      <c r="B4" s="13">
        <v>10668.9</v>
      </c>
      <c r="C4" s="13">
        <v>11018.7</v>
      </c>
      <c r="D4" s="13">
        <v>11250.6</v>
      </c>
      <c r="E4" s="13">
        <v>11315.4</v>
      </c>
      <c r="F4" s="13">
        <v>11604.9</v>
      </c>
      <c r="G4" s="13">
        <v>12088.2</v>
      </c>
      <c r="H4" s="13">
        <v>12200.7</v>
      </c>
      <c r="I4" s="13">
        <v>12659.7</v>
      </c>
      <c r="J4" s="13">
        <v>12791.7</v>
      </c>
      <c r="K4" s="13">
        <v>13187.1</v>
      </c>
      <c r="L4" s="13">
        <v>13759.5</v>
      </c>
      <c r="M4" s="13">
        <v>14287.2</v>
      </c>
      <c r="N4" s="13">
        <v>14639.4</v>
      </c>
      <c r="O4" s="13">
        <v>14639.4</v>
      </c>
      <c r="P4" s="13">
        <v>14639.4</v>
      </c>
      <c r="Q4" s="13">
        <v>14639.4</v>
      </c>
      <c r="R4" s="13">
        <v>15006</v>
      </c>
      <c r="S4" s="13">
        <v>15006</v>
      </c>
      <c r="T4" s="13">
        <v>15380.7</v>
      </c>
      <c r="U4" s="13">
        <v>15380.7</v>
      </c>
      <c r="V4" s="13">
        <v>15380.7</v>
      </c>
      <c r="W4" s="13">
        <v>15380.7</v>
      </c>
    </row>
    <row r="5" spans="1:23" x14ac:dyDescent="0.25">
      <c r="A5" s="12" t="s">
        <v>51</v>
      </c>
      <c r="B5" s="13">
        <v>8865.2999999999993</v>
      </c>
      <c r="C5" s="13">
        <v>9276.9</v>
      </c>
      <c r="D5" s="13">
        <v>9467.7000000000007</v>
      </c>
      <c r="E5" s="13">
        <v>9619.2000000000007</v>
      </c>
      <c r="F5" s="13">
        <v>9893.4</v>
      </c>
      <c r="G5" s="13">
        <v>10164.6</v>
      </c>
      <c r="H5" s="13">
        <v>10477.799999999999</v>
      </c>
      <c r="I5" s="13">
        <v>10790.1</v>
      </c>
      <c r="J5" s="13">
        <v>11103.6</v>
      </c>
      <c r="K5" s="13">
        <v>12088.2</v>
      </c>
      <c r="L5" s="13">
        <v>12919.2</v>
      </c>
      <c r="M5" s="13">
        <v>12919.2</v>
      </c>
      <c r="N5" s="13">
        <v>12919.2</v>
      </c>
      <c r="O5" s="13">
        <v>12919.2</v>
      </c>
      <c r="P5" s="13">
        <v>12985.5</v>
      </c>
      <c r="Q5" s="13">
        <v>12985.5</v>
      </c>
      <c r="R5" s="13">
        <v>13245.3</v>
      </c>
      <c r="S5" s="13">
        <v>13245.3</v>
      </c>
      <c r="T5" s="13">
        <v>13245.3</v>
      </c>
      <c r="U5" s="13">
        <v>13245.3</v>
      </c>
      <c r="V5" s="13">
        <v>13245.3</v>
      </c>
      <c r="W5" s="13">
        <v>13245.3</v>
      </c>
    </row>
    <row r="6" spans="1:23" x14ac:dyDescent="0.25">
      <c r="A6" s="12" t="s">
        <v>52</v>
      </c>
      <c r="B6" s="13">
        <v>6722.7</v>
      </c>
      <c r="C6" s="13">
        <v>7385.7</v>
      </c>
      <c r="D6" s="13">
        <v>7870.5</v>
      </c>
      <c r="E6" s="13">
        <v>7870.5</v>
      </c>
      <c r="F6" s="13">
        <v>7900.5</v>
      </c>
      <c r="G6" s="13">
        <v>8239.2000000000007</v>
      </c>
      <c r="H6" s="13">
        <v>8283.9</v>
      </c>
      <c r="I6" s="13">
        <v>8283.9</v>
      </c>
      <c r="J6" s="13">
        <v>8754.2999999999993</v>
      </c>
      <c r="K6" s="13">
        <v>9586.7999999999993</v>
      </c>
      <c r="L6" s="13">
        <v>10075.200000000001</v>
      </c>
      <c r="M6" s="13">
        <v>10563.3</v>
      </c>
      <c r="N6" s="13">
        <v>10841.4</v>
      </c>
      <c r="O6" s="13">
        <v>11123.1</v>
      </c>
      <c r="P6" s="13">
        <v>11668.2</v>
      </c>
      <c r="Q6" s="13">
        <v>11668.2</v>
      </c>
      <c r="R6" s="13">
        <v>11901.3</v>
      </c>
      <c r="S6" s="13">
        <v>11901.3</v>
      </c>
      <c r="T6" s="13">
        <v>11901.3</v>
      </c>
      <c r="U6" s="13">
        <v>11901.3</v>
      </c>
      <c r="V6" s="13">
        <v>11901.3</v>
      </c>
      <c r="W6" s="13">
        <v>11901.3</v>
      </c>
    </row>
    <row r="7" spans="1:23" x14ac:dyDescent="0.25">
      <c r="A7" s="12" t="s">
        <v>33</v>
      </c>
      <c r="B7" s="13">
        <v>5604.3</v>
      </c>
      <c r="C7" s="13">
        <v>6313.5</v>
      </c>
      <c r="D7" s="13">
        <v>6750</v>
      </c>
      <c r="E7" s="13">
        <v>6832.5</v>
      </c>
      <c r="F7" s="13">
        <v>7105.5</v>
      </c>
      <c r="G7" s="13">
        <v>7268.4</v>
      </c>
      <c r="H7" s="13">
        <v>7627.2</v>
      </c>
      <c r="I7" s="13">
        <v>7890.9</v>
      </c>
      <c r="J7" s="13">
        <v>8230.7999999999993</v>
      </c>
      <c r="K7" s="13">
        <v>8751.2999999999993</v>
      </c>
      <c r="L7" s="13">
        <v>8998.5</v>
      </c>
      <c r="M7" s="13">
        <v>9243.6</v>
      </c>
      <c r="N7" s="13">
        <v>9521.4</v>
      </c>
      <c r="O7" s="13">
        <v>9521.4</v>
      </c>
      <c r="P7" s="13">
        <v>9521.4</v>
      </c>
      <c r="Q7" s="13">
        <v>9521.4</v>
      </c>
      <c r="R7" s="13">
        <v>9521.4</v>
      </c>
      <c r="S7" s="13">
        <v>9521.4</v>
      </c>
      <c r="T7" s="13">
        <v>9521.4</v>
      </c>
      <c r="U7" s="13">
        <v>9521.4</v>
      </c>
      <c r="V7" s="13">
        <v>9521.4</v>
      </c>
      <c r="W7" s="13">
        <v>9521.4</v>
      </c>
    </row>
    <row r="8" spans="1:23" x14ac:dyDescent="0.25">
      <c r="A8" s="12" t="s">
        <v>34</v>
      </c>
      <c r="B8" s="13">
        <v>4835.3999999999996</v>
      </c>
      <c r="C8" s="13">
        <v>5597.4</v>
      </c>
      <c r="D8" s="13">
        <v>5971.2</v>
      </c>
      <c r="E8" s="13">
        <v>6054</v>
      </c>
      <c r="F8" s="13">
        <v>6400.8</v>
      </c>
      <c r="G8" s="13">
        <v>6772.8</v>
      </c>
      <c r="H8" s="13">
        <v>7236</v>
      </c>
      <c r="I8" s="13">
        <v>7596.3</v>
      </c>
      <c r="J8" s="13">
        <v>7846.5</v>
      </c>
      <c r="K8" s="13">
        <v>7990.5</v>
      </c>
      <c r="L8" s="13">
        <v>8073.9</v>
      </c>
      <c r="M8" s="13">
        <v>8073.9</v>
      </c>
      <c r="N8" s="13">
        <v>8073.9</v>
      </c>
      <c r="O8" s="13">
        <v>8073.9</v>
      </c>
      <c r="P8" s="13">
        <v>8073.9</v>
      </c>
      <c r="Q8" s="13">
        <v>8073.9</v>
      </c>
      <c r="R8" s="13">
        <v>8073.9</v>
      </c>
      <c r="S8" s="13">
        <v>8073.9</v>
      </c>
      <c r="T8" s="13">
        <v>8073.9</v>
      </c>
      <c r="U8" s="13">
        <v>8073.9</v>
      </c>
      <c r="V8" s="13">
        <v>8073.9</v>
      </c>
      <c r="W8" s="13">
        <v>8073.9</v>
      </c>
    </row>
    <row r="9" spans="1:23" x14ac:dyDescent="0.25">
      <c r="A9" s="12" t="s">
        <v>53</v>
      </c>
      <c r="B9" s="13">
        <v>4251.6000000000004</v>
      </c>
      <c r="C9" s="13">
        <v>4819.2</v>
      </c>
      <c r="D9" s="13">
        <v>5201.3999999999996</v>
      </c>
      <c r="E9" s="13">
        <v>5671.5</v>
      </c>
      <c r="F9" s="13">
        <v>5943.6</v>
      </c>
      <c r="G9" s="13">
        <v>6241.5</v>
      </c>
      <c r="H9" s="13">
        <v>6434.4</v>
      </c>
      <c r="I9" s="13">
        <v>6751.2</v>
      </c>
      <c r="J9" s="13">
        <v>6916.8</v>
      </c>
      <c r="K9" s="13">
        <v>6916.8</v>
      </c>
      <c r="L9" s="13">
        <v>6916.8</v>
      </c>
      <c r="M9" s="13">
        <v>6916.8</v>
      </c>
      <c r="N9" s="13">
        <v>6916.8</v>
      </c>
      <c r="O9" s="13">
        <v>6916.8</v>
      </c>
      <c r="P9" s="13">
        <v>6916.8</v>
      </c>
      <c r="Q9" s="13">
        <v>6916.8</v>
      </c>
      <c r="R9" s="13">
        <v>6916.8</v>
      </c>
      <c r="S9" s="13">
        <v>6916.8</v>
      </c>
      <c r="T9" s="13">
        <v>6916.8</v>
      </c>
      <c r="U9" s="13">
        <v>6916.8</v>
      </c>
      <c r="V9" s="13">
        <v>6916.8</v>
      </c>
      <c r="W9" s="13">
        <v>6916.8</v>
      </c>
    </row>
    <row r="10" spans="1:23" x14ac:dyDescent="0.25">
      <c r="A10" s="12" t="s">
        <v>54</v>
      </c>
      <c r="B10" s="13">
        <v>3673.5</v>
      </c>
      <c r="C10" s="13">
        <v>4183.8</v>
      </c>
      <c r="D10" s="13">
        <v>4818.3</v>
      </c>
      <c r="E10" s="13">
        <v>4981.2</v>
      </c>
      <c r="F10" s="13">
        <v>5083.8</v>
      </c>
      <c r="G10" s="13">
        <v>5083.8</v>
      </c>
      <c r="H10" s="13">
        <v>5083.8</v>
      </c>
      <c r="I10" s="13">
        <v>5083.8</v>
      </c>
      <c r="J10" s="13">
        <v>5083.8</v>
      </c>
      <c r="K10" s="13">
        <v>5083.8</v>
      </c>
      <c r="L10" s="13">
        <v>5083.8</v>
      </c>
      <c r="M10" s="13">
        <v>5083.8</v>
      </c>
      <c r="N10" s="13">
        <v>5083.8</v>
      </c>
      <c r="O10" s="13">
        <v>5083.8</v>
      </c>
      <c r="P10" s="13">
        <v>5083.8</v>
      </c>
      <c r="Q10" s="13">
        <v>5083.8</v>
      </c>
      <c r="R10" s="13">
        <v>5083.8</v>
      </c>
      <c r="S10" s="13">
        <v>5083.8</v>
      </c>
      <c r="T10" s="13">
        <v>5083.8</v>
      </c>
      <c r="U10" s="13">
        <v>5083.8</v>
      </c>
      <c r="V10" s="13">
        <v>5083.8</v>
      </c>
      <c r="W10" s="13">
        <v>5083.8</v>
      </c>
    </row>
    <row r="11" spans="1:23" x14ac:dyDescent="0.25">
      <c r="A11" s="12" t="s">
        <v>55</v>
      </c>
      <c r="B11" s="13">
        <v>3188.4</v>
      </c>
      <c r="C11" s="13">
        <v>3318.9</v>
      </c>
      <c r="D11" s="13">
        <v>4011.9</v>
      </c>
      <c r="E11" s="13">
        <v>4011.9</v>
      </c>
      <c r="F11" s="13">
        <v>4011.9</v>
      </c>
      <c r="G11" s="13">
        <v>4011.9</v>
      </c>
      <c r="H11" s="13">
        <v>4011.9</v>
      </c>
      <c r="I11" s="13">
        <v>4011.9</v>
      </c>
      <c r="J11" s="13">
        <v>4011.9</v>
      </c>
      <c r="K11" s="13">
        <v>4011.9</v>
      </c>
      <c r="L11" s="13">
        <v>4011.9</v>
      </c>
      <c r="M11" s="13">
        <v>4011.9</v>
      </c>
      <c r="N11" s="13">
        <v>4011.9</v>
      </c>
      <c r="O11" s="13">
        <v>4011.9</v>
      </c>
      <c r="P11" s="13">
        <v>4011.9</v>
      </c>
      <c r="Q11" s="13">
        <v>4011.9</v>
      </c>
      <c r="R11" s="13">
        <v>4011.9</v>
      </c>
      <c r="S11" s="13">
        <v>4011.9</v>
      </c>
      <c r="T11" s="13">
        <v>4011.9</v>
      </c>
      <c r="U11" s="13">
        <v>4011.9</v>
      </c>
      <c r="V11" s="13">
        <v>4011.9</v>
      </c>
      <c r="W11" s="13">
        <v>4011.9</v>
      </c>
    </row>
    <row r="12" spans="1:23" x14ac:dyDescent="0.25">
      <c r="A12" s="14" t="s">
        <v>35</v>
      </c>
      <c r="B12" s="15">
        <v>7812.6</v>
      </c>
      <c r="C12" s="15">
        <v>7812.6</v>
      </c>
      <c r="D12" s="15">
        <v>7812.6</v>
      </c>
      <c r="E12" s="15">
        <v>7812.6</v>
      </c>
      <c r="F12" s="15">
        <v>7812.6</v>
      </c>
      <c r="G12" s="15">
        <v>7812.6</v>
      </c>
      <c r="H12" s="15">
        <v>7812.6</v>
      </c>
      <c r="I12" s="15">
        <v>7812.6</v>
      </c>
      <c r="J12" s="15">
        <v>7812.6</v>
      </c>
      <c r="K12" s="15">
        <v>7812.6</v>
      </c>
      <c r="L12" s="15">
        <v>7812.6</v>
      </c>
      <c r="M12" s="15">
        <v>7812.6</v>
      </c>
      <c r="N12" s="15">
        <v>8208.6</v>
      </c>
      <c r="O12" s="15">
        <v>8503.7999999999993</v>
      </c>
      <c r="P12" s="15">
        <v>8830.5</v>
      </c>
      <c r="Q12" s="15">
        <v>8830.5</v>
      </c>
      <c r="R12" s="15">
        <v>9272.7000000000007</v>
      </c>
      <c r="S12" s="15">
        <v>9272.7000000000007</v>
      </c>
      <c r="T12" s="15">
        <v>9735.6</v>
      </c>
      <c r="U12" s="15">
        <v>9735.6</v>
      </c>
      <c r="V12" s="15">
        <v>10223.4</v>
      </c>
      <c r="W12" s="15">
        <v>10223.4</v>
      </c>
    </row>
    <row r="13" spans="1:23" x14ac:dyDescent="0.25">
      <c r="A13" s="14" t="s">
        <v>36</v>
      </c>
      <c r="B13" s="15">
        <v>4393.8</v>
      </c>
      <c r="C13" s="15">
        <v>4726.2</v>
      </c>
      <c r="D13" s="15">
        <v>4861.8</v>
      </c>
      <c r="E13" s="15">
        <v>4995.3</v>
      </c>
      <c r="F13" s="15">
        <v>5225.1000000000004</v>
      </c>
      <c r="G13" s="15">
        <v>5452.8</v>
      </c>
      <c r="H13" s="15">
        <v>5683.2</v>
      </c>
      <c r="I13" s="15">
        <v>6029.1</v>
      </c>
      <c r="J13" s="15">
        <v>6333</v>
      </c>
      <c r="K13" s="15">
        <v>6621.9</v>
      </c>
      <c r="L13" s="15">
        <v>6858.6</v>
      </c>
      <c r="M13" s="15">
        <v>7089.3</v>
      </c>
      <c r="N13" s="15">
        <v>7428</v>
      </c>
      <c r="O13" s="15">
        <v>7706.4</v>
      </c>
      <c r="P13" s="15">
        <v>8024.1</v>
      </c>
      <c r="Q13" s="15">
        <v>8024.1</v>
      </c>
      <c r="R13" s="15">
        <v>8184</v>
      </c>
      <c r="S13" s="15">
        <v>8184</v>
      </c>
      <c r="T13" s="15">
        <v>8184</v>
      </c>
      <c r="U13" s="15">
        <v>8184</v>
      </c>
      <c r="V13" s="15">
        <v>8184</v>
      </c>
      <c r="W13" s="15">
        <v>8184</v>
      </c>
    </row>
    <row r="14" spans="1:23" x14ac:dyDescent="0.25">
      <c r="A14" s="14" t="s">
        <v>37</v>
      </c>
      <c r="B14" s="15">
        <v>4012.5</v>
      </c>
      <c r="C14" s="15">
        <v>4179.6000000000004</v>
      </c>
      <c r="D14" s="15">
        <v>4351.2</v>
      </c>
      <c r="E14" s="15">
        <v>4407.6000000000004</v>
      </c>
      <c r="F14" s="15">
        <v>4586.7</v>
      </c>
      <c r="G14" s="15">
        <v>4940.3999999999996</v>
      </c>
      <c r="H14" s="15">
        <v>5308.5</v>
      </c>
      <c r="I14" s="15">
        <v>5482.2</v>
      </c>
      <c r="J14" s="15">
        <v>5682.9</v>
      </c>
      <c r="K14" s="15">
        <v>5889</v>
      </c>
      <c r="L14" s="15">
        <v>6261</v>
      </c>
      <c r="M14" s="15">
        <v>6511.8</v>
      </c>
      <c r="N14" s="15">
        <v>6661.8</v>
      </c>
      <c r="O14" s="15">
        <v>6821.1</v>
      </c>
      <c r="P14" s="15">
        <v>7038.6</v>
      </c>
      <c r="Q14" s="15">
        <v>7038.6</v>
      </c>
      <c r="R14" s="15">
        <v>7038.6</v>
      </c>
      <c r="S14" s="15">
        <v>7038.6</v>
      </c>
      <c r="T14" s="15">
        <v>7038.6</v>
      </c>
      <c r="U14" s="15">
        <v>7038.6</v>
      </c>
      <c r="V14" s="15">
        <v>7038.6</v>
      </c>
      <c r="W14" s="15">
        <v>7038.6</v>
      </c>
    </row>
    <row r="15" spans="1:23" x14ac:dyDescent="0.25">
      <c r="A15" s="14" t="s">
        <v>38</v>
      </c>
      <c r="B15" s="15">
        <v>3550.5</v>
      </c>
      <c r="C15" s="15">
        <v>3886.2</v>
      </c>
      <c r="D15" s="15">
        <v>3989.7</v>
      </c>
      <c r="E15" s="15">
        <v>4060.5</v>
      </c>
      <c r="F15" s="15">
        <v>4290.8999999999996</v>
      </c>
      <c r="G15" s="15">
        <v>4648.8</v>
      </c>
      <c r="H15" s="15">
        <v>4826.1000000000004</v>
      </c>
      <c r="I15" s="15">
        <v>5000.3999999999996</v>
      </c>
      <c r="J15" s="15">
        <v>5214</v>
      </c>
      <c r="K15" s="15">
        <v>5381.1</v>
      </c>
      <c r="L15" s="15">
        <v>5532</v>
      </c>
      <c r="M15" s="15">
        <v>5713.2</v>
      </c>
      <c r="N15" s="15">
        <v>5832</v>
      </c>
      <c r="O15" s="15">
        <v>5926.2</v>
      </c>
      <c r="P15" s="15">
        <v>5926.2</v>
      </c>
      <c r="Q15" s="15">
        <v>5926.2</v>
      </c>
      <c r="R15" s="15">
        <v>5926.2</v>
      </c>
      <c r="S15" s="15">
        <v>5926.2</v>
      </c>
      <c r="T15" s="15">
        <v>5926.2</v>
      </c>
      <c r="U15" s="15">
        <v>5926.2</v>
      </c>
      <c r="V15" s="15">
        <v>5926.2</v>
      </c>
      <c r="W15" s="15">
        <v>5926.2</v>
      </c>
    </row>
    <row r="16" spans="1:23" x14ac:dyDescent="0.25">
      <c r="A16" s="14" t="s">
        <v>39</v>
      </c>
      <c r="B16" s="15">
        <v>3116.4</v>
      </c>
      <c r="C16" s="15">
        <v>3452.1</v>
      </c>
      <c r="D16" s="15">
        <v>3542.1</v>
      </c>
      <c r="E16" s="15">
        <v>3732.6</v>
      </c>
      <c r="F16" s="15">
        <v>3957.9</v>
      </c>
      <c r="G16" s="15">
        <v>4290.3</v>
      </c>
      <c r="H16" s="15">
        <v>4445.1000000000004</v>
      </c>
      <c r="I16" s="15">
        <v>4662</v>
      </c>
      <c r="J16" s="15">
        <v>4875.3</v>
      </c>
      <c r="K16" s="15">
        <v>5043.3</v>
      </c>
      <c r="L16" s="15">
        <v>5197.5</v>
      </c>
      <c r="M16" s="15">
        <v>5385.3</v>
      </c>
      <c r="N16" s="15">
        <v>5385.3</v>
      </c>
      <c r="O16" s="15">
        <v>5385.3</v>
      </c>
      <c r="P16" s="15">
        <v>5385.3</v>
      </c>
      <c r="Q16" s="15">
        <v>5385.3</v>
      </c>
      <c r="R16" s="15">
        <v>5385.3</v>
      </c>
      <c r="S16" s="15">
        <v>5385.3</v>
      </c>
      <c r="T16" s="15">
        <v>5385.3</v>
      </c>
      <c r="U16" s="15">
        <v>5385.3</v>
      </c>
      <c r="V16" s="15">
        <v>5385.3</v>
      </c>
      <c r="W16" s="15">
        <v>5385.3</v>
      </c>
    </row>
    <row r="17" spans="1:23" x14ac:dyDescent="0.25">
      <c r="A17" s="14" t="s">
        <v>40</v>
      </c>
      <c r="B17" s="15">
        <v>5308.2</v>
      </c>
      <c r="C17" s="15">
        <v>5308.2</v>
      </c>
      <c r="D17" s="15">
        <v>5308.2</v>
      </c>
      <c r="E17" s="15">
        <v>5308.2</v>
      </c>
      <c r="F17" s="15">
        <v>5308.2</v>
      </c>
      <c r="G17" s="15">
        <v>5308.2</v>
      </c>
      <c r="H17" s="15">
        <v>5308.2</v>
      </c>
      <c r="I17" s="15">
        <v>5428.5</v>
      </c>
      <c r="J17" s="15">
        <v>5580.3</v>
      </c>
      <c r="K17" s="15">
        <v>5758.2</v>
      </c>
      <c r="L17" s="15">
        <v>5938.8</v>
      </c>
      <c r="M17" s="15">
        <v>6226.5</v>
      </c>
      <c r="N17" s="15">
        <v>6470.7</v>
      </c>
      <c r="O17" s="15">
        <v>6726.6</v>
      </c>
      <c r="P17" s="15">
        <v>7119.3</v>
      </c>
      <c r="Q17" s="15">
        <v>7119.3</v>
      </c>
      <c r="R17" s="15">
        <v>7474.8</v>
      </c>
      <c r="S17" s="15">
        <v>7474.8</v>
      </c>
      <c r="T17" s="15">
        <v>7848.9</v>
      </c>
      <c r="U17" s="15">
        <v>7848.9</v>
      </c>
      <c r="V17" s="15">
        <v>8241.9</v>
      </c>
      <c r="W17" s="15">
        <v>8241.9</v>
      </c>
    </row>
    <row r="18" spans="1:23" x14ac:dyDescent="0.25">
      <c r="A18" s="14" t="s">
        <v>41</v>
      </c>
      <c r="B18" s="15">
        <v>4345.5</v>
      </c>
      <c r="C18" s="15">
        <v>4345.5</v>
      </c>
      <c r="D18" s="15">
        <v>4345.5</v>
      </c>
      <c r="E18" s="15">
        <v>4345.5</v>
      </c>
      <c r="F18" s="15">
        <v>4345.5</v>
      </c>
      <c r="G18" s="15">
        <v>4345.5</v>
      </c>
      <c r="H18" s="15">
        <v>4537.5</v>
      </c>
      <c r="I18" s="15">
        <v>4656.6000000000004</v>
      </c>
      <c r="J18" s="15">
        <v>4798.8</v>
      </c>
      <c r="K18" s="15">
        <v>4953.6000000000004</v>
      </c>
      <c r="L18" s="15">
        <v>5232.3</v>
      </c>
      <c r="M18" s="15">
        <v>5373.6</v>
      </c>
      <c r="N18" s="15">
        <v>5613.9</v>
      </c>
      <c r="O18" s="15">
        <v>5747.4</v>
      </c>
      <c r="P18" s="15">
        <v>6075.6</v>
      </c>
      <c r="Q18" s="15">
        <v>6075.6</v>
      </c>
      <c r="R18" s="15">
        <v>6197.7</v>
      </c>
      <c r="S18" s="15">
        <v>6197.7</v>
      </c>
      <c r="T18" s="15">
        <v>6197.7</v>
      </c>
      <c r="U18" s="15">
        <v>6197.7</v>
      </c>
      <c r="V18" s="15">
        <v>6197.7</v>
      </c>
      <c r="W18" s="15">
        <v>6197.7</v>
      </c>
    </row>
    <row r="19" spans="1:23" x14ac:dyDescent="0.25">
      <c r="A19" s="14" t="s">
        <v>42</v>
      </c>
      <c r="B19" s="15">
        <v>3020.7</v>
      </c>
      <c r="C19" s="15">
        <v>3296.7</v>
      </c>
      <c r="D19" s="15">
        <v>3423.3</v>
      </c>
      <c r="E19" s="15">
        <v>3590.1</v>
      </c>
      <c r="F19" s="15">
        <v>3720.9</v>
      </c>
      <c r="G19" s="15">
        <v>3945</v>
      </c>
      <c r="H19" s="15">
        <v>4071.6</v>
      </c>
      <c r="I19" s="15">
        <v>4295.7</v>
      </c>
      <c r="J19" s="15">
        <v>4482.6000000000004</v>
      </c>
      <c r="K19" s="15">
        <v>4609.8</v>
      </c>
      <c r="L19" s="15">
        <v>4745.3999999999996</v>
      </c>
      <c r="M19" s="15">
        <v>4797.6000000000004</v>
      </c>
      <c r="N19" s="15">
        <v>4974.3</v>
      </c>
      <c r="O19" s="15">
        <v>5068.8</v>
      </c>
      <c r="P19" s="15">
        <v>5429.1</v>
      </c>
      <c r="Q19" s="15">
        <v>5429.1</v>
      </c>
      <c r="R19" s="15">
        <v>5429.1</v>
      </c>
      <c r="S19" s="15">
        <v>5429.1</v>
      </c>
      <c r="T19" s="15">
        <v>5429.1</v>
      </c>
      <c r="U19" s="15">
        <v>5429.1</v>
      </c>
      <c r="V19" s="15">
        <v>5429.1</v>
      </c>
      <c r="W19" s="15">
        <v>5429.1</v>
      </c>
    </row>
    <row r="20" spans="1:23" x14ac:dyDescent="0.25">
      <c r="A20" s="14" t="s">
        <v>43</v>
      </c>
      <c r="B20" s="15">
        <v>2612.6999999999998</v>
      </c>
      <c r="C20" s="15">
        <v>2875.2</v>
      </c>
      <c r="D20" s="15">
        <v>3002.1</v>
      </c>
      <c r="E20" s="15">
        <v>3125.4</v>
      </c>
      <c r="F20" s="15">
        <v>3254.1</v>
      </c>
      <c r="G20" s="15">
        <v>3543.3</v>
      </c>
      <c r="H20" s="15">
        <v>3656.4</v>
      </c>
      <c r="I20" s="15">
        <v>3874.8</v>
      </c>
      <c r="J20" s="15">
        <v>3941.4</v>
      </c>
      <c r="K20" s="15">
        <v>3990</v>
      </c>
      <c r="L20" s="15">
        <v>4046.7</v>
      </c>
      <c r="M20" s="15">
        <v>4046.7</v>
      </c>
      <c r="N20" s="15">
        <v>4046.7</v>
      </c>
      <c r="O20" s="15">
        <v>4046.7</v>
      </c>
      <c r="P20" s="15">
        <v>4046.7</v>
      </c>
      <c r="Q20" s="15">
        <v>4046.7</v>
      </c>
      <c r="R20" s="15">
        <v>4046.7</v>
      </c>
      <c r="S20" s="15">
        <v>4046.7</v>
      </c>
      <c r="T20" s="15">
        <v>4046.7</v>
      </c>
      <c r="U20" s="15">
        <v>4046.7</v>
      </c>
      <c r="V20" s="15">
        <v>4046.7</v>
      </c>
      <c r="W20" s="15">
        <v>4046.7</v>
      </c>
    </row>
    <row r="21" spans="1:23" x14ac:dyDescent="0.25">
      <c r="A21" s="14" t="s">
        <v>44</v>
      </c>
      <c r="B21" s="15">
        <v>2393.4</v>
      </c>
      <c r="C21" s="15">
        <v>2554.8000000000002</v>
      </c>
      <c r="D21" s="15">
        <v>2678.1</v>
      </c>
      <c r="E21" s="15">
        <v>2804.4</v>
      </c>
      <c r="F21" s="15">
        <v>3001.5</v>
      </c>
      <c r="G21" s="15">
        <v>3207</v>
      </c>
      <c r="H21" s="15">
        <v>3376.2</v>
      </c>
      <c r="I21" s="15">
        <v>3396.6</v>
      </c>
      <c r="J21" s="15">
        <v>3396.6</v>
      </c>
      <c r="K21" s="15">
        <v>3396.6</v>
      </c>
      <c r="L21" s="15">
        <v>3396.6</v>
      </c>
      <c r="M21" s="15">
        <v>3396.6</v>
      </c>
      <c r="N21" s="15">
        <v>3396.6</v>
      </c>
      <c r="O21" s="15">
        <v>3396.6</v>
      </c>
      <c r="P21" s="15">
        <v>3396.6</v>
      </c>
      <c r="Q21" s="15">
        <v>3396.6</v>
      </c>
      <c r="R21" s="15">
        <v>3396.6</v>
      </c>
      <c r="S21" s="15">
        <v>3396.6</v>
      </c>
      <c r="T21" s="15">
        <v>3396.6</v>
      </c>
      <c r="U21" s="15">
        <v>3396.6</v>
      </c>
      <c r="V21" s="15">
        <v>3396.6</v>
      </c>
      <c r="W21" s="15">
        <v>3396.6</v>
      </c>
    </row>
    <row r="22" spans="1:23" x14ac:dyDescent="0.25">
      <c r="A22" s="14" t="s">
        <v>45</v>
      </c>
      <c r="B22" s="15">
        <v>2194.5</v>
      </c>
      <c r="C22" s="15">
        <v>2307</v>
      </c>
      <c r="D22" s="15">
        <v>2431.8000000000002</v>
      </c>
      <c r="E22" s="15">
        <v>2555.4</v>
      </c>
      <c r="F22" s="15">
        <v>2664</v>
      </c>
      <c r="G22" s="15">
        <v>2664</v>
      </c>
      <c r="H22" s="15">
        <v>2664</v>
      </c>
      <c r="I22" s="15">
        <v>2664</v>
      </c>
      <c r="J22" s="15">
        <v>2664</v>
      </c>
      <c r="K22" s="15">
        <v>2664</v>
      </c>
      <c r="L22" s="15">
        <v>2664</v>
      </c>
      <c r="M22" s="15">
        <v>2664</v>
      </c>
      <c r="N22" s="15">
        <v>2664</v>
      </c>
      <c r="O22" s="15">
        <v>2664</v>
      </c>
      <c r="P22" s="15">
        <v>2664</v>
      </c>
      <c r="Q22" s="15">
        <v>2664</v>
      </c>
      <c r="R22" s="15">
        <v>2664</v>
      </c>
      <c r="S22" s="15">
        <v>2664</v>
      </c>
      <c r="T22" s="15">
        <v>2664</v>
      </c>
      <c r="U22" s="15">
        <v>2664</v>
      </c>
      <c r="V22" s="15">
        <v>2664</v>
      </c>
      <c r="W22" s="15">
        <v>2664</v>
      </c>
    </row>
    <row r="23" spans="1:23" x14ac:dyDescent="0.25">
      <c r="A23" s="14" t="s">
        <v>46</v>
      </c>
      <c r="B23" s="15">
        <v>1981.2</v>
      </c>
      <c r="C23" s="15">
        <v>2105.6999999999998</v>
      </c>
      <c r="D23" s="15">
        <v>2233.5</v>
      </c>
      <c r="E23" s="15">
        <v>2233.5</v>
      </c>
      <c r="F23" s="15">
        <v>2233.5</v>
      </c>
      <c r="G23" s="15">
        <v>2233.5</v>
      </c>
      <c r="H23" s="15">
        <v>2233.5</v>
      </c>
      <c r="I23" s="15">
        <v>2233.5</v>
      </c>
      <c r="J23" s="15">
        <v>2233.5</v>
      </c>
      <c r="K23" s="15">
        <v>2233.5</v>
      </c>
      <c r="L23" s="15">
        <v>2233.5</v>
      </c>
      <c r="M23" s="15">
        <v>2233.5</v>
      </c>
      <c r="N23" s="15">
        <v>2233.5</v>
      </c>
      <c r="O23" s="15">
        <v>2233.5</v>
      </c>
      <c r="P23" s="15">
        <v>2233.5</v>
      </c>
      <c r="Q23" s="15">
        <v>2233.5</v>
      </c>
      <c r="R23" s="15">
        <v>2233.5</v>
      </c>
      <c r="S23" s="15">
        <v>2233.5</v>
      </c>
      <c r="T23" s="15">
        <v>2233.5</v>
      </c>
      <c r="U23" s="15">
        <v>2233.5</v>
      </c>
      <c r="V23" s="15">
        <v>2233.5</v>
      </c>
      <c r="W23" s="15">
        <v>2233.5</v>
      </c>
    </row>
    <row r="24" spans="1:23" x14ac:dyDescent="0.25">
      <c r="A24" s="14" t="s">
        <v>47</v>
      </c>
      <c r="B24" s="15">
        <v>1884</v>
      </c>
      <c r="C24" s="15">
        <v>1884</v>
      </c>
      <c r="D24" s="15">
        <v>1884</v>
      </c>
      <c r="E24" s="15">
        <v>1884</v>
      </c>
      <c r="F24" s="15">
        <v>1884</v>
      </c>
      <c r="G24" s="15">
        <v>1884</v>
      </c>
      <c r="H24" s="15">
        <v>1884</v>
      </c>
      <c r="I24" s="15">
        <v>1884</v>
      </c>
      <c r="J24" s="15">
        <v>1884</v>
      </c>
      <c r="K24" s="15">
        <v>1884</v>
      </c>
      <c r="L24" s="15">
        <v>1884</v>
      </c>
      <c r="M24" s="15">
        <v>1884</v>
      </c>
      <c r="N24" s="15">
        <v>1884</v>
      </c>
      <c r="O24" s="15">
        <v>1884</v>
      </c>
      <c r="P24" s="15">
        <v>1884</v>
      </c>
      <c r="Q24" s="15">
        <v>1884</v>
      </c>
      <c r="R24" s="15">
        <v>1884</v>
      </c>
      <c r="S24" s="15">
        <v>1884</v>
      </c>
      <c r="T24" s="15">
        <v>1884</v>
      </c>
      <c r="U24" s="15">
        <v>1884</v>
      </c>
      <c r="V24" s="15">
        <v>1884</v>
      </c>
      <c r="W24" s="15">
        <v>1884</v>
      </c>
    </row>
    <row r="25" spans="1:23" x14ac:dyDescent="0.25">
      <c r="A25" s="14" t="s">
        <v>56</v>
      </c>
      <c r="B25" s="15">
        <v>1680.9</v>
      </c>
      <c r="C25" s="15">
        <v>1680.9</v>
      </c>
      <c r="D25" s="15">
        <v>1680.9</v>
      </c>
      <c r="E25" s="15">
        <v>1680.9</v>
      </c>
      <c r="F25" s="15">
        <v>1680.9</v>
      </c>
      <c r="G25" s="15">
        <v>1680.9</v>
      </c>
      <c r="H25" s="15">
        <v>1680.9</v>
      </c>
      <c r="I25" s="15">
        <v>1680.9</v>
      </c>
      <c r="J25" s="15">
        <v>1680.9</v>
      </c>
      <c r="K25" s="15">
        <v>1680.9</v>
      </c>
      <c r="L25" s="15">
        <v>1680.9</v>
      </c>
      <c r="M25" s="15">
        <v>1680.9</v>
      </c>
      <c r="N25" s="15">
        <v>1680.9</v>
      </c>
      <c r="O25" s="15">
        <v>1680.9</v>
      </c>
      <c r="P25" s="15">
        <v>1680.9</v>
      </c>
      <c r="Q25" s="15">
        <v>1680.9</v>
      </c>
      <c r="R25" s="15">
        <v>1680.9</v>
      </c>
      <c r="S25" s="15">
        <v>1680.9</v>
      </c>
      <c r="T25" s="15">
        <v>1680.9</v>
      </c>
      <c r="U25" s="15">
        <v>1680.9</v>
      </c>
      <c r="V25" s="15">
        <v>1680.9</v>
      </c>
      <c r="W25" s="15">
        <v>1680.9</v>
      </c>
    </row>
  </sheetData>
  <sheetProtection sheet="1" objects="1" scenarios="1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Information</vt:lpstr>
      <vt:lpstr>Retirement Pay Calculations</vt:lpstr>
      <vt:lpstr>Salary Calculator</vt:lpstr>
      <vt:lpstr>Tax Brackets</vt:lpstr>
      <vt:lpstr>Disability Payment</vt:lpstr>
      <vt:lpstr>Retirment Pay Summary</vt:lpstr>
      <vt:lpstr>2021 Pay Chart</vt:lpstr>
      <vt:lpstr>2020 Pay Chart</vt:lpstr>
      <vt:lpstr>2019 Pay Chart</vt:lpstr>
      <vt:lpstr>2018 Pay Chart</vt:lpstr>
      <vt:lpstr>2017 Pay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Military Transition Calculator</dc:title>
  <dc:creator>Troy Ward</dc:creator>
  <cp:keywords>Retirement, Calculator, Military, Pay</cp:keywords>
  <cp:lastModifiedBy>Troy Ward</cp:lastModifiedBy>
  <cp:lastPrinted>2020-02-10T03:02:43Z</cp:lastPrinted>
  <dcterms:created xsi:type="dcterms:W3CDTF">2018-12-16T22:09:19Z</dcterms:created>
  <dcterms:modified xsi:type="dcterms:W3CDTF">2020-03-08T04:44:14Z</dcterms:modified>
  <cp:contentStatus>Copyright Troy Ward 2020</cp:contentStatus>
</cp:coreProperties>
</file>