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yrod\OneDrive\Documents\"/>
    </mc:Choice>
  </mc:AlternateContent>
  <xr:revisionPtr revIDLastSave="1372" documentId="8_{B42B9F0C-DAB5-4418-9A24-3A0D51EE5959}" xr6:coauthVersionLast="45" xr6:coauthVersionMax="45" xr10:uidLastSave="{9A509BA8-CD96-4199-8FF5-FC937D71F1D3}"/>
  <workbookProtection lockStructure="1"/>
  <bookViews>
    <workbookView xWindow="-120" yWindow="-120" windowWidth="29040" windowHeight="15840" activeTab="1" xr2:uid="{6DD4531E-06FE-4E3E-8555-2BF16B89EF35}"/>
  </bookViews>
  <sheets>
    <sheet name="Retirment Pay Summary" sheetId="5" r:id="rId1"/>
    <sheet name="Salary Calculator" sheetId="11" r:id="rId2"/>
    <sheet name="Retirement Pay" sheetId="4" r:id="rId3"/>
    <sheet name="Disability Payment" sheetId="2" r:id="rId4"/>
    <sheet name="2020 Pay Chart" sheetId="9" r:id="rId5"/>
    <sheet name="2019 Pay Chart" sheetId="6" r:id="rId6"/>
    <sheet name="2018 Pay Chart" sheetId="10" r:id="rId7"/>
    <sheet name="2017 Pay Chart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1" l="1"/>
  <c r="E17" i="11"/>
  <c r="C14" i="11"/>
  <c r="C13" i="11"/>
  <c r="C12" i="11"/>
  <c r="C22" i="11" s="1"/>
  <c r="C19" i="11" l="1"/>
  <c r="C20" i="11"/>
  <c r="C15" i="11"/>
  <c r="C18" i="11" s="1"/>
  <c r="C21" i="11"/>
  <c r="M3" i="4"/>
  <c r="I5" i="4"/>
  <c r="J5" i="4" s="1"/>
  <c r="F2" i="5" s="1"/>
  <c r="A41" i="4"/>
  <c r="P3" i="4"/>
  <c r="N3" i="4"/>
  <c r="C23" i="11" l="1"/>
  <c r="D12" i="11"/>
  <c r="D15" i="11" s="1"/>
  <c r="D18" i="11" s="1"/>
  <c r="D20" i="11" s="1"/>
  <c r="C24" i="11"/>
  <c r="E24" i="11" s="1"/>
  <c r="F25" i="11"/>
  <c r="D22" i="11"/>
  <c r="D21" i="11"/>
  <c r="C41" i="4"/>
  <c r="D41" i="4"/>
  <c r="A38" i="4"/>
  <c r="B41" i="4"/>
  <c r="M5" i="4"/>
  <c r="F12" i="5" s="1"/>
  <c r="F5" i="5" s="1"/>
  <c r="A39" i="4"/>
  <c r="A23" i="4"/>
  <c r="A7" i="4"/>
  <c r="A11" i="4"/>
  <c r="A27" i="4"/>
  <c r="A15" i="4"/>
  <c r="A31" i="4"/>
  <c r="A19" i="4"/>
  <c r="A35" i="4"/>
  <c r="A8" i="4"/>
  <c r="A12" i="4"/>
  <c r="A16" i="4"/>
  <c r="A20" i="4"/>
  <c r="A24" i="4"/>
  <c r="A28" i="4"/>
  <c r="A32" i="4"/>
  <c r="A36" i="4"/>
  <c r="A40" i="4"/>
  <c r="A5" i="4"/>
  <c r="A9" i="4"/>
  <c r="A13" i="4"/>
  <c r="A17" i="4"/>
  <c r="A22" i="4"/>
  <c r="A25" i="4"/>
  <c r="A29" i="4"/>
  <c r="A33" i="4"/>
  <c r="A37" i="4"/>
  <c r="A6" i="4"/>
  <c r="A10" i="4"/>
  <c r="A14" i="4"/>
  <c r="A18" i="4"/>
  <c r="A21" i="4"/>
  <c r="A26" i="4"/>
  <c r="D26" i="4" s="1"/>
  <c r="A30" i="4"/>
  <c r="A34" i="4"/>
  <c r="D19" i="11" l="1"/>
  <c r="D23" i="11"/>
  <c r="D24" i="11" s="1"/>
  <c r="D25" i="11" s="1"/>
  <c r="E41" i="4"/>
  <c r="F41" i="4"/>
  <c r="C26" i="4"/>
  <c r="C10" i="4"/>
  <c r="D10" i="4"/>
  <c r="C29" i="4"/>
  <c r="D29" i="4"/>
  <c r="C13" i="4"/>
  <c r="D13" i="4"/>
  <c r="C36" i="4"/>
  <c r="D36" i="4"/>
  <c r="C20" i="4"/>
  <c r="D20" i="4"/>
  <c r="C35" i="4"/>
  <c r="D35" i="4"/>
  <c r="C27" i="4"/>
  <c r="D27" i="4"/>
  <c r="C39" i="4"/>
  <c r="D39" i="4"/>
  <c r="C21" i="4"/>
  <c r="D21" i="4"/>
  <c r="C6" i="4"/>
  <c r="D6" i="4"/>
  <c r="C25" i="4"/>
  <c r="D25" i="4"/>
  <c r="C9" i="4"/>
  <c r="D9" i="4"/>
  <c r="C32" i="4"/>
  <c r="D32" i="4"/>
  <c r="C16" i="4"/>
  <c r="D16" i="4"/>
  <c r="C19" i="4"/>
  <c r="D19" i="4"/>
  <c r="C11" i="4"/>
  <c r="D11" i="4"/>
  <c r="C38" i="4"/>
  <c r="D38" i="4"/>
  <c r="C34" i="4"/>
  <c r="D34" i="4"/>
  <c r="C18" i="4"/>
  <c r="D18" i="4"/>
  <c r="C37" i="4"/>
  <c r="D37" i="4"/>
  <c r="C22" i="4"/>
  <c r="D22" i="4"/>
  <c r="C5" i="4"/>
  <c r="D5" i="4"/>
  <c r="C28" i="4"/>
  <c r="D28" i="4"/>
  <c r="C12" i="4"/>
  <c r="D12" i="4"/>
  <c r="C31" i="4"/>
  <c r="D31" i="4"/>
  <c r="C7" i="4"/>
  <c r="D7" i="4"/>
  <c r="C30" i="4"/>
  <c r="D30" i="4"/>
  <c r="C14" i="4"/>
  <c r="D14" i="4"/>
  <c r="C33" i="4"/>
  <c r="D33" i="4"/>
  <c r="C17" i="4"/>
  <c r="D17" i="4"/>
  <c r="C40" i="4"/>
  <c r="D40" i="4"/>
  <c r="C24" i="4"/>
  <c r="D24" i="4"/>
  <c r="C8" i="4"/>
  <c r="D8" i="4"/>
  <c r="C15" i="4"/>
  <c r="D15" i="4"/>
  <c r="C23" i="4"/>
  <c r="D23" i="4"/>
  <c r="B21" i="4"/>
  <c r="B18" i="4"/>
  <c r="B37" i="4"/>
  <c r="B5" i="4"/>
  <c r="B12" i="4"/>
  <c r="B31" i="4"/>
  <c r="B7" i="4"/>
  <c r="B30" i="4"/>
  <c r="B33" i="4"/>
  <c r="B17" i="4"/>
  <c r="B40" i="4"/>
  <c r="B24" i="4"/>
  <c r="B8" i="4"/>
  <c r="B15" i="4"/>
  <c r="B23" i="4"/>
  <c r="B34" i="4"/>
  <c r="B22" i="4"/>
  <c r="B28" i="4"/>
  <c r="B14" i="4"/>
  <c r="B26" i="4"/>
  <c r="B10" i="4"/>
  <c r="B29" i="4"/>
  <c r="B13" i="4"/>
  <c r="B36" i="4"/>
  <c r="B20" i="4"/>
  <c r="B35" i="4"/>
  <c r="B27" i="4"/>
  <c r="B39" i="4"/>
  <c r="B6" i="4"/>
  <c r="B25" i="4"/>
  <c r="B9" i="4"/>
  <c r="B32" i="4"/>
  <c r="B16" i="4"/>
  <c r="B19" i="4"/>
  <c r="B11" i="4"/>
  <c r="B38" i="4"/>
  <c r="G41" i="4"/>
  <c r="E29" i="4" l="1"/>
  <c r="F29" i="4"/>
  <c r="E15" i="4"/>
  <c r="F15" i="4"/>
  <c r="E31" i="4"/>
  <c r="F31" i="4"/>
  <c r="E19" i="4"/>
  <c r="F19" i="4"/>
  <c r="E25" i="4"/>
  <c r="F25" i="4"/>
  <c r="E35" i="4"/>
  <c r="F35" i="4"/>
  <c r="E28" i="4"/>
  <c r="F28" i="4"/>
  <c r="E17" i="4"/>
  <c r="F17" i="4"/>
  <c r="E18" i="4"/>
  <c r="F18" i="4"/>
  <c r="E16" i="4"/>
  <c r="F16" i="4"/>
  <c r="E6" i="4"/>
  <c r="F6" i="4"/>
  <c r="E20" i="4"/>
  <c r="F20" i="4"/>
  <c r="E10" i="4"/>
  <c r="F10" i="4"/>
  <c r="E22" i="4"/>
  <c r="F22" i="4"/>
  <c r="E8" i="4"/>
  <c r="F8" i="4"/>
  <c r="E33" i="4"/>
  <c r="F33" i="4"/>
  <c r="E12" i="4"/>
  <c r="F12" i="4"/>
  <c r="E21" i="4"/>
  <c r="F21" i="4"/>
  <c r="E38" i="4"/>
  <c r="F38" i="4"/>
  <c r="E32" i="4"/>
  <c r="F32" i="4"/>
  <c r="E39" i="4"/>
  <c r="F39" i="4"/>
  <c r="E36" i="4"/>
  <c r="F36" i="4"/>
  <c r="E26" i="4"/>
  <c r="F26" i="4"/>
  <c r="E34" i="4"/>
  <c r="F34" i="4"/>
  <c r="E24" i="4"/>
  <c r="F24" i="4"/>
  <c r="E30" i="4"/>
  <c r="F30" i="4"/>
  <c r="E5" i="4"/>
  <c r="F5" i="4"/>
  <c r="E11" i="4"/>
  <c r="F11" i="4"/>
  <c r="E9" i="4"/>
  <c r="F9" i="4"/>
  <c r="E27" i="4"/>
  <c r="F27" i="4"/>
  <c r="E13" i="4"/>
  <c r="F13" i="4"/>
  <c r="E14" i="4"/>
  <c r="F14" i="4"/>
  <c r="E23" i="4"/>
  <c r="F23" i="4"/>
  <c r="E40" i="4"/>
  <c r="F40" i="4"/>
  <c r="E7" i="4"/>
  <c r="F7" i="4"/>
  <c r="E37" i="4"/>
  <c r="F37" i="4"/>
  <c r="H41" i="4"/>
  <c r="G25" i="4"/>
  <c r="G10" i="4"/>
  <c r="H10" i="4" s="1"/>
  <c r="G39" i="4"/>
  <c r="G9" i="4"/>
  <c r="H9" i="4" s="1"/>
  <c r="G15" i="4"/>
  <c r="G33" i="4"/>
  <c r="G40" i="4"/>
  <c r="G20" i="4"/>
  <c r="G14" i="4"/>
  <c r="G21" i="4"/>
  <c r="G37" i="4"/>
  <c r="G36" i="4"/>
  <c r="G6" i="4"/>
  <c r="H6" i="4" s="1"/>
  <c r="G7" i="4"/>
  <c r="H7" i="4" s="1"/>
  <c r="G27" i="4"/>
  <c r="G30" i="4"/>
  <c r="G11" i="4"/>
  <c r="G28" i="4"/>
  <c r="G8" i="4"/>
  <c r="H8" i="4" s="1"/>
  <c r="G26" i="4"/>
  <c r="G13" i="4"/>
  <c r="G35" i="4"/>
  <c r="G32" i="4"/>
  <c r="H11" i="4"/>
  <c r="G16" i="4"/>
  <c r="G34" i="4"/>
  <c r="G31" i="4"/>
  <c r="G5" i="4"/>
  <c r="H5" i="4" s="1"/>
  <c r="G17" i="4"/>
  <c r="G29" i="4"/>
  <c r="G18" i="4"/>
  <c r="G12" i="4"/>
  <c r="G24" i="4"/>
  <c r="G23" i="4"/>
  <c r="G19" i="4"/>
  <c r="G38" i="4"/>
  <c r="G22" i="4"/>
  <c r="E18" i="11" l="1"/>
  <c r="E15" i="11" s="1"/>
  <c r="H22" i="4"/>
  <c r="H24" i="4"/>
  <c r="H17" i="4"/>
  <c r="H16" i="4"/>
  <c r="H26" i="4"/>
  <c r="H27" i="4"/>
  <c r="H37" i="4"/>
  <c r="H40" i="4"/>
  <c r="H39" i="4"/>
  <c r="H32" i="4"/>
  <c r="H33" i="4"/>
  <c r="H19" i="4"/>
  <c r="H18" i="4"/>
  <c r="H35" i="4"/>
  <c r="H15" i="4"/>
  <c r="H29" i="4"/>
  <c r="H34" i="4"/>
  <c r="H30" i="4"/>
  <c r="H20" i="4"/>
  <c r="H38" i="4"/>
  <c r="H12" i="4"/>
  <c r="H21" i="4"/>
  <c r="H31" i="4"/>
  <c r="H28" i="4"/>
  <c r="H14" i="4"/>
  <c r="H25" i="4"/>
  <c r="H23" i="4"/>
  <c r="H13" i="4"/>
  <c r="H36" i="4"/>
  <c r="K5" i="4" l="1"/>
  <c r="E12" i="11"/>
  <c r="E16" i="11"/>
  <c r="E19" i="11"/>
  <c r="E20" i="11"/>
  <c r="E22" i="11"/>
  <c r="E21" i="11"/>
  <c r="F3" i="5" l="1"/>
  <c r="L5" i="4"/>
  <c r="F15" i="11"/>
  <c r="F16" i="11" s="1"/>
  <c r="F18" i="11" s="1"/>
  <c r="E23" i="11"/>
  <c r="F4" i="5" l="1"/>
  <c r="F6" i="5" s="1"/>
  <c r="O5" i="4"/>
  <c r="F7" i="5" s="1"/>
  <c r="F19" i="11"/>
  <c r="F21" i="11"/>
  <c r="F20" i="11"/>
  <c r="F22" i="11"/>
  <c r="F23" i="11" s="1"/>
  <c r="F24" i="11" s="1"/>
  <c r="F8" i="5" l="1"/>
  <c r="F10" i="5" l="1"/>
  <c r="F9" i="5"/>
  <c r="F11" i="5" l="1"/>
  <c r="F1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Troy Ward</author>
  </authors>
  <commentList>
    <comment ref="A2" authorId="0" shapeId="0" xr:uid="{1E63492D-CB9A-42F0-B82A-A7D4637329E4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Basic Active Duty Service Date</t>
        </r>
      </text>
    </comment>
    <comment ref="A3" authorId="0" shapeId="0" xr:uid="{0C7558C0-8429-4510-925B-DABE5EE62A0C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Retirement Date</t>
        </r>
      </text>
    </comment>
    <comment ref="A4" authorId="0" shapeId="0" xr:uid="{764B6449-DB5B-4094-94FD-18A73F4070CC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Current family status</t>
        </r>
      </text>
    </comment>
    <comment ref="A5" authorId="0" shapeId="0" xr:uid="{B6B1D7B5-229E-44A1-AAB9-7D75D1ACB905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Number of dependents under the age of 18</t>
        </r>
      </text>
    </comment>
    <comment ref="A6" authorId="0" shapeId="0" xr:uid="{D546CB92-9FEA-425A-95FF-72CD59152C0F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Disability rating (as an integer)</t>
        </r>
      </text>
    </comment>
    <comment ref="A7" authorId="0" shapeId="0" xr:uid="{18EDDBBD-2758-4051-8047-16A9D58721E6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State tax on military retirement benifits</t>
        </r>
      </text>
    </comment>
    <comment ref="A8" authorId="0" shapeId="0" xr:uid="{BE0A82E0-87D9-4F6D-A394-93363D180325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Federal income tax bracket</t>
        </r>
      </text>
    </comment>
    <comment ref="A9" authorId="0" shapeId="0" xr:uid="{AA9169B5-46EB-4727-9916-1D44A63BD31B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Rank at retirement</t>
        </r>
      </text>
    </comment>
    <comment ref="A10" authorId="0" shapeId="0" xr:uid="{F6B651C8-3EAA-4260-8EA0-D485DF4A9520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Date you were promoted to your current rank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Troy Ward</author>
  </authors>
  <commentList>
    <comment ref="A2" authorId="0" shapeId="0" xr:uid="{C2DAB331-9ACD-49EA-AF20-4AEC67AAE8AE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What is your marginal Federal tax rate?</t>
        </r>
      </text>
    </comment>
    <comment ref="A3" authorId="0" shapeId="0" xr:uid="{480F6F2A-5DE8-47E0-BF20-3267FE1AC538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What is your marginal State tax rate before your retimrement data</t>
        </r>
      </text>
    </comment>
    <comment ref="A4" authorId="0" shapeId="0" xr:uid="{9C576DBA-27B9-4A55-AB59-9018ABE512AE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What is marginal State tax rate for the state you will retire in?</t>
        </r>
      </text>
    </comment>
    <comment ref="A5" authorId="0" shapeId="0" xr:uid="{50408EB3-EBAC-4AFE-9ABC-E0FBEF42EAEA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If you will contribute pre-tax income towards an employer 401K, what percentage (Enter 0 if none)</t>
        </r>
      </text>
    </comment>
    <comment ref="A6" authorId="0" shapeId="0" xr:uid="{2233E783-AA2E-4489-9244-B935C364DCA4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If you will pay pre-tax payments towards medical/dental insurance.  If not, enter 0</t>
        </r>
      </text>
    </comment>
    <comment ref="D11" authorId="0" shapeId="0" xr:uid="{F83C7204-DB7C-4E07-A402-19E016A8BAE9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This column shows what your income will look like if your current income/allowances was maintained but fully taxable</t>
        </r>
      </text>
    </comment>
    <comment ref="E11" authorId="0" shapeId="0" xr:uid="{6FBC8CD4-B0F5-4BE7-95C4-35505C073E3C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This column calculates the salary required to maintain your current after tax/deductions income</t>
        </r>
      </text>
    </comment>
    <comment ref="F11" authorId="0" shapeId="0" xr:uid="{97195BAC-0ED4-45C8-82D3-BA835DF58DB6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Use this column to enter your own custom salary amount</t>
        </r>
      </text>
    </comment>
    <comment ref="B12" authorId="0" shapeId="0" xr:uid="{8CEFF74E-440C-4E99-9738-D01516D9D427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What is your monthly base income?</t>
        </r>
      </text>
    </comment>
    <comment ref="B13" authorId="0" shapeId="0" xr:uid="{BC7F9D2E-66BE-4E2B-B167-DAF2380FA416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Monthly BAH amount</t>
        </r>
      </text>
    </comment>
    <comment ref="B14" authorId="0" shapeId="0" xr:uid="{E6401686-F78A-4481-BE57-DB54C71A1F69}">
      <text>
        <r>
          <rPr>
            <b/>
            <sz val="9"/>
            <color indexed="81"/>
            <rFont val="Tahoma"/>
            <family val="2"/>
          </rPr>
          <t>Troy Ward:</t>
        </r>
        <r>
          <rPr>
            <sz val="9"/>
            <color indexed="81"/>
            <rFont val="Tahoma"/>
            <family val="2"/>
          </rPr>
          <t xml:space="preserve">
Monthly BAS amount</t>
        </r>
      </text>
    </comment>
  </commentList>
</comments>
</file>

<file path=xl/sharedStrings.xml><?xml version="1.0" encoding="utf-8"?>
<sst xmlns="http://schemas.openxmlformats.org/spreadsheetml/2006/main" count="214" uniqueCount="132">
  <si>
    <t>Month</t>
  </si>
  <si>
    <t>Base Pay</t>
  </si>
  <si>
    <t>Multiplier</t>
  </si>
  <si>
    <t>Average</t>
  </si>
  <si>
    <t>Single</t>
  </si>
  <si>
    <t>Married</t>
  </si>
  <si>
    <t>Child Only</t>
  </si>
  <si>
    <t>Additional Child</t>
  </si>
  <si>
    <t>Disability Rating</t>
  </si>
  <si>
    <t>Family Status</t>
  </si>
  <si>
    <t>Total Children</t>
  </si>
  <si>
    <t>Monthly Disability Pay</t>
  </si>
  <si>
    <t>Montly Retirement Pay</t>
  </si>
  <si>
    <t>Basic Active Service Date (BASD)</t>
  </si>
  <si>
    <t>Retirement Effective Date</t>
  </si>
  <si>
    <t>Number of Minor Dependents</t>
  </si>
  <si>
    <t>State Tax Rate (On Military Retirement)</t>
  </si>
  <si>
    <t>Months After 20 Years</t>
  </si>
  <si>
    <t>Retirement Multiplier</t>
  </si>
  <si>
    <t>High 3 Average</t>
  </si>
  <si>
    <t>Retirement Base Pay</t>
  </si>
  <si>
    <t>Disability Amount</t>
  </si>
  <si>
    <t>Federal Tax Bracket</t>
  </si>
  <si>
    <t>Total Taxes (State and Fed)</t>
  </si>
  <si>
    <t>SBP Cost</t>
  </si>
  <si>
    <t>x</t>
  </si>
  <si>
    <t>Disability Offset</t>
  </si>
  <si>
    <t>-</t>
  </si>
  <si>
    <t>Total Retirement Pay</t>
  </si>
  <si>
    <t>Total Retirement Benefit</t>
  </si>
  <si>
    <t>Total Taxable Benefit</t>
  </si>
  <si>
    <t>+</t>
  </si>
  <si>
    <t>Total Montly Payment</t>
  </si>
  <si>
    <t>Retirement Payments</t>
  </si>
  <si>
    <t>O-5</t>
  </si>
  <si>
    <t>O-4</t>
  </si>
  <si>
    <t>W-5</t>
  </si>
  <si>
    <t>W-4</t>
  </si>
  <si>
    <t>W-3</t>
  </si>
  <si>
    <t>W-2</t>
  </si>
  <si>
    <t>W-1</t>
  </si>
  <si>
    <t>E-9</t>
  </si>
  <si>
    <t>E-8</t>
  </si>
  <si>
    <t>E-7</t>
  </si>
  <si>
    <t>E-6</t>
  </si>
  <si>
    <t>E-5</t>
  </si>
  <si>
    <t>E-4</t>
  </si>
  <si>
    <t>E-3</t>
  </si>
  <si>
    <t>E-2</t>
  </si>
  <si>
    <t>O-10</t>
  </si>
  <si>
    <t>O-9</t>
  </si>
  <si>
    <t>O-8</t>
  </si>
  <si>
    <t>O-7</t>
  </si>
  <si>
    <t>O-6</t>
  </si>
  <si>
    <t>O-3</t>
  </si>
  <si>
    <t>O-2</t>
  </si>
  <si>
    <t>O-1</t>
  </si>
  <si>
    <t>E-1</t>
  </si>
  <si>
    <t>Date of Last Promotion</t>
  </si>
  <si>
    <t>Year</t>
  </si>
  <si>
    <t>Pay Chart Year</t>
  </si>
  <si>
    <t>Rank at Retirement</t>
  </si>
  <si>
    <t>Grade</t>
  </si>
  <si>
    <t>Pay Chart Table Name</t>
  </si>
  <si>
    <t>Column Index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</si>
  <si>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</si>
  <si>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</si>
  <si>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</si>
  <si>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</si>
  <si>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</si>
  <si>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</si>
  <si>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</si>
  <si>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</si>
  <si>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</si>
  <si>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</si>
  <si>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</si>
  <si>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</si>
  <si>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</si>
  <si>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</si>
  <si>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</si>
  <si>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 4,530.00</t>
  </si>
  <si>
    <t> 4,137.00</t>
  </si>
  <si>
    <t> 4,309.20</t>
  </si>
  <si>
    <t> 4,486.20</t>
  </si>
  <si>
    <t> 4,544.10</t>
  </si>
  <si>
    <t> 4,728.90</t>
  </si>
  <si>
    <t> 5,093.70</t>
  </si>
  <si>
    <t> 3,660.60</t>
  </si>
  <si>
    <t> 4,006.80</t>
  </si>
  <si>
    <t> 4,113.30</t>
  </si>
  <si>
    <t> 4,186.50</t>
  </si>
  <si>
    <t> 4,423.80</t>
  </si>
  <si>
    <t> 4,792.80</t>
  </si>
  <si>
    <t> 3,213.00</t>
  </si>
  <si>
    <t> 3,559.20</t>
  </si>
  <si>
    <t> 3,651.90</t>
  </si>
  <si>
    <t> 3,848.40</t>
  </si>
  <si>
    <t> 4,080.60</t>
  </si>
  <si>
    <t> 4,423.20</t>
  </si>
  <si>
    <t>Pay Chart Header Rows</t>
  </si>
  <si>
    <t>a</t>
  </si>
  <si>
    <t>b</t>
  </si>
  <si>
    <t>c</t>
  </si>
  <si>
    <t>d</t>
  </si>
  <si>
    <t>Married with Child</t>
  </si>
  <si>
    <t>BAH</t>
  </si>
  <si>
    <t>BAS</t>
  </si>
  <si>
    <t>State Tax Rate Before Retirment</t>
  </si>
  <si>
    <t>State Tax Rate After Retirement</t>
  </si>
  <si>
    <t>Federal Tax Rate</t>
  </si>
  <si>
    <t>Yearly (Pre-Retirment)</t>
  </si>
  <si>
    <t>Federal Taxes</t>
  </si>
  <si>
    <t>State Taxes</t>
  </si>
  <si>
    <t>Social Security</t>
  </si>
  <si>
    <t>Medicare</t>
  </si>
  <si>
    <t>Total Income</t>
  </si>
  <si>
    <t>Yearly Pay</t>
  </si>
  <si>
    <t>Yearly(Post-Retirement Not Adjusted)</t>
  </si>
  <si>
    <t>Total Deductions</t>
  </si>
  <si>
    <t>Difference</t>
  </si>
  <si>
    <t>Medical</t>
  </si>
  <si>
    <t>401K</t>
  </si>
  <si>
    <t>401K Contribution</t>
  </si>
  <si>
    <t>Post Pre-Tax</t>
  </si>
  <si>
    <t>Calculated Equivilent</t>
  </si>
  <si>
    <t>Insurance</t>
  </si>
  <si>
    <t>Playground</t>
  </si>
  <si>
    <t>Social Security/Medicare</t>
  </si>
  <si>
    <t>Retirement Pay Variables</t>
  </si>
  <si>
    <t>Income Planning Variables</t>
  </si>
  <si>
    <t>Monthly</t>
  </si>
  <si>
    <t>This sheet contains no editable fields.  No changes are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</si>
</sst>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17" fontId="0" fillId="0" borderId="0" xfId="0" applyNumberFormat="1"/>
    <xf numFmtId="9" fontId="0" fillId="0" borderId="0" xfId="2" applyFont="1"/>
    <xf numFmtId="44" fontId="0" fillId="0" borderId="0" xfId="1" applyFont="1"/>
    <xf numFmtId="15" fontId="0" fillId="0" borderId="0" xfId="0" applyNumberFormat="1"/>
    <xf numFmtId="44" fontId="0" fillId="0" borderId="0" xfId="1" applyFont="1" applyFill="1"/>
    <xf numFmtId="164" fontId="0" fillId="0" borderId="0" xfId="2" applyNumberFormat="1" applyFont="1" applyBorder="1"/>
    <xf numFmtId="44" fontId="0" fillId="0" borderId="4" xfId="0" applyNumberFormat="1" applyBorder="1"/>
    <xf numFmtId="0" fontId="0" fillId="0" borderId="4" xfId="0" applyFont="1" applyBorder="1"/>
    <xf numFmtId="44" fontId="2" fillId="2" borderId="0" xfId="0" applyNumberFormat="1" applyFont="1" applyFill="1"/>
    <xf numFmtId="0" fontId="0" fillId="0" borderId="1" xfId="0" applyFont="1" applyBorder="1"/>
    <xf numFmtId="0" fontId="3" fillId="0" borderId="0" xfId="0" applyFont="1" applyBorder="1"/>
    <xf numFmtId="0" fontId="0" fillId="0" borderId="7" xfId="0" applyFont="1" applyBorder="1"/>
    <xf numFmtId="44" fontId="3" fillId="3" borderId="6" xfId="0" applyNumberFormat="1" applyFont="1" applyFill="1" applyBorder="1"/>
    <xf numFmtId="0" fontId="3" fillId="3" borderId="1" xfId="0" applyFont="1" applyFill="1" applyBorder="1"/>
    <xf numFmtId="0" fontId="0" fillId="0" borderId="0" xfId="0" applyAlignment="1"/>
    <xf numFmtId="0" fontId="5" fillId="4" borderId="1" xfId="0" applyFont="1" applyFill="1" applyBorder="1" applyAlignment="1">
      <alignment horizontal="left" vertical="top"/>
    </xf>
    <xf numFmtId="4" fontId="4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left" vertical="center"/>
    </xf>
    <xf numFmtId="4" fontId="0" fillId="0" borderId="1" xfId="0" applyNumberFormat="1" applyBorder="1"/>
    <xf numFmtId="4" fontId="0" fillId="0" borderId="1" xfId="0" applyNumberFormat="1" applyBorder="1" applyAlignment="1"/>
    <xf numFmtId="4" fontId="0" fillId="0" borderId="1" xfId="0" applyNumberFormat="1" applyBorder="1" applyAlignment="1">
      <alignment horizontal="right"/>
    </xf>
    <xf numFmtId="4" fontId="4" fillId="4" borderId="1" xfId="0" applyNumberFormat="1" applyFont="1" applyFill="1" applyBorder="1" applyAlignment="1">
      <alignment horizontal="right" vertical="top"/>
    </xf>
    <xf numFmtId="4" fontId="4" fillId="4" borderId="1" xfId="0" applyNumberFormat="1" applyFont="1" applyFill="1" applyBorder="1" applyAlignment="1">
      <alignment horizontal="right" vertical="center"/>
    </xf>
    <xf numFmtId="0" fontId="0" fillId="0" borderId="0" xfId="0" applyFill="1"/>
    <xf numFmtId="4" fontId="4" fillId="4" borderId="8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left" vertical="top" wrapText="1"/>
    </xf>
    <xf numFmtId="4" fontId="4" fillId="4" borderId="8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4" fontId="0" fillId="0" borderId="0" xfId="0" applyNumberFormat="1"/>
    <xf numFmtId="44" fontId="0" fillId="0" borderId="0" xfId="0" applyNumberFormat="1" applyBorder="1"/>
    <xf numFmtId="44" fontId="3" fillId="3" borderId="0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Border="1"/>
    <xf numFmtId="44" fontId="0" fillId="0" borderId="1" xfId="0" applyNumberFormat="1" applyBorder="1"/>
    <xf numFmtId="0" fontId="0" fillId="0" borderId="1" xfId="0" applyBorder="1"/>
    <xf numFmtId="8" fontId="0" fillId="0" borderId="1" xfId="0" applyNumberFormat="1" applyBorder="1"/>
    <xf numFmtId="2" fontId="0" fillId="6" borderId="1" xfId="0" applyNumberFormat="1" applyFill="1" applyBorder="1"/>
    <xf numFmtId="0" fontId="0" fillId="6" borderId="1" xfId="0" applyFill="1" applyBorder="1"/>
    <xf numFmtId="44" fontId="0" fillId="6" borderId="1" xfId="1" applyFont="1" applyFill="1" applyBorder="1"/>
    <xf numFmtId="44" fontId="0" fillId="6" borderId="1" xfId="0" applyNumberFormat="1" applyFill="1" applyBorder="1"/>
    <xf numFmtId="10" fontId="0" fillId="5" borderId="1" xfId="2" applyNumberFormat="1" applyFont="1" applyFill="1" applyBorder="1" applyProtection="1">
      <protection locked="0"/>
    </xf>
    <xf numFmtId="44" fontId="0" fillId="5" borderId="1" xfId="1" applyFont="1" applyFill="1" applyBorder="1" applyProtection="1">
      <protection locked="0"/>
    </xf>
    <xf numFmtId="44" fontId="4" fillId="5" borderId="1" xfId="1" applyFont="1" applyFill="1" applyBorder="1" applyAlignment="1" applyProtection="1">
      <alignment vertical="top" wrapText="1"/>
      <protection locked="0"/>
    </xf>
    <xf numFmtId="44" fontId="0" fillId="5" borderId="1" xfId="0" applyNumberFormat="1" applyFill="1" applyBorder="1" applyProtection="1">
      <protection locked="0"/>
    </xf>
    <xf numFmtId="15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9" fontId="0" fillId="5" borderId="1" xfId="2" applyFont="1" applyFill="1" applyBorder="1" applyProtection="1">
      <protection locked="0"/>
    </xf>
    <xf numFmtId="0" fontId="0" fillId="2" borderId="0" xfId="0" applyFill="1"/>
    <xf numFmtId="17" fontId="0" fillId="2" borderId="0" xfId="0" applyNumberFormat="1" applyFill="1"/>
    <xf numFmtId="0" fontId="0" fillId="2" borderId="0" xfId="0" applyNumberFormat="1" applyFill="1"/>
    <xf numFmtId="1" fontId="0" fillId="2" borderId="0" xfId="0" applyNumberFormat="1" applyFill="1"/>
    <xf numFmtId="44" fontId="0" fillId="2" borderId="0" xfId="1" applyFont="1" applyFill="1"/>
    <xf numFmtId="164" fontId="0" fillId="2" borderId="0" xfId="2" applyNumberFormat="1" applyFont="1" applyFill="1"/>
    <xf numFmtId="44" fontId="0" fillId="2" borderId="0" xfId="0" applyNumberFormat="1" applyFill="1"/>
    <xf numFmtId="0" fontId="3" fillId="0" borderId="0" xfId="0" applyFont="1" applyAlignment="1"/>
    <xf numFmtId="8" fontId="0" fillId="0" borderId="1" xfId="0" applyNumberFormat="1" applyFill="1" applyBorder="1"/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F3A1-CA4A-40CA-866B-18A7C45EF1A9}">
  <sheetPr codeName="Sheet1"/>
  <dimension ref="A1:F13"/>
  <sheetViews>
    <sheetView workbookViewId="0">
      <selection activeCell="B38" sqref="B38"/>
    </sheetView>
  </sheetViews>
  <sheetFormatPr defaultRowHeight="15" x14ac:dyDescent="0.25"/>
  <cols>
    <col min="1" max="1" width="36.5703125" bestFit="1" customWidth="1"/>
    <col min="2" max="2" width="18.28515625" bestFit="1" customWidth="1"/>
    <col min="4" max="4" width="25.140625" bestFit="1" customWidth="1"/>
    <col min="5" max="5" width="3.7109375" customWidth="1"/>
    <col min="6" max="6" width="10.5703125" bestFit="1" customWidth="1"/>
    <col min="8" max="8" width="15.28515625" bestFit="1" customWidth="1"/>
  </cols>
  <sheetData>
    <row r="1" spans="1:6" x14ac:dyDescent="0.25">
      <c r="A1" s="61" t="s">
        <v>128</v>
      </c>
      <c r="B1" s="61"/>
      <c r="D1" s="61" t="s">
        <v>33</v>
      </c>
      <c r="E1" s="61"/>
      <c r="F1" s="61"/>
    </row>
    <row r="2" spans="1:6" x14ac:dyDescent="0.25">
      <c r="A2" s="38" t="s">
        <v>13</v>
      </c>
      <c r="B2" s="48">
        <v>36356</v>
      </c>
      <c r="D2" s="10" t="s">
        <v>18</v>
      </c>
      <c r="E2" s="64" t="s">
        <v>25</v>
      </c>
      <c r="F2" s="6">
        <f>'Retirement Pay'!J5</f>
        <v>0.52708333333333335</v>
      </c>
    </row>
    <row r="3" spans="1:6" ht="15.75" thickBot="1" x14ac:dyDescent="0.3">
      <c r="A3" s="38" t="s">
        <v>14</v>
      </c>
      <c r="B3" s="48">
        <v>44075</v>
      </c>
      <c r="D3" s="10" t="s">
        <v>19</v>
      </c>
      <c r="E3" s="65"/>
      <c r="F3" s="7">
        <f ca="1">'Retirement Pay'!K5</f>
        <v>5995.5891891891879</v>
      </c>
    </row>
    <row r="4" spans="1:6" x14ac:dyDescent="0.25">
      <c r="A4" s="38" t="s">
        <v>9</v>
      </c>
      <c r="B4" s="49" t="s">
        <v>104</v>
      </c>
      <c r="D4" s="14" t="s">
        <v>20</v>
      </c>
      <c r="E4" s="66" t="s">
        <v>27</v>
      </c>
      <c r="F4" s="13">
        <f ca="1">'Retirement Pay'!L5</f>
        <v>3160.1751351351345</v>
      </c>
    </row>
    <row r="5" spans="1:6" ht="15.75" thickBot="1" x14ac:dyDescent="0.3">
      <c r="A5" s="38" t="s">
        <v>15</v>
      </c>
      <c r="B5" s="49">
        <v>2</v>
      </c>
      <c r="D5" s="10" t="s">
        <v>26</v>
      </c>
      <c r="E5" s="67"/>
      <c r="F5" s="8">
        <f>IF(B6&lt;50,F12,0)</f>
        <v>0</v>
      </c>
    </row>
    <row r="6" spans="1:6" x14ac:dyDescent="0.25">
      <c r="A6" s="38" t="s">
        <v>8</v>
      </c>
      <c r="B6" s="50">
        <v>100</v>
      </c>
      <c r="D6" s="14" t="s">
        <v>29</v>
      </c>
      <c r="E6" s="62" t="s">
        <v>27</v>
      </c>
      <c r="F6" s="13">
        <f ca="1">F4-F5</f>
        <v>3160.1751351351345</v>
      </c>
    </row>
    <row r="7" spans="1:6" ht="15.75" thickBot="1" x14ac:dyDescent="0.3">
      <c r="A7" s="38" t="s">
        <v>16</v>
      </c>
      <c r="B7" s="51">
        <v>7.0000000000000007E-2</v>
      </c>
      <c r="D7" s="10" t="s">
        <v>24</v>
      </c>
      <c r="E7" s="63"/>
      <c r="F7" s="7">
        <f ca="1">'Retirement Pay'!O5</f>
        <v>205.41138378378375</v>
      </c>
    </row>
    <row r="8" spans="1:6" x14ac:dyDescent="0.25">
      <c r="A8" s="38" t="s">
        <v>22</v>
      </c>
      <c r="B8" s="51">
        <v>0.22</v>
      </c>
      <c r="D8" s="14" t="s">
        <v>30</v>
      </c>
      <c r="E8" s="68" t="s">
        <v>27</v>
      </c>
      <c r="F8" s="13">
        <f ca="1">F6-F7</f>
        <v>2954.7637513513509</v>
      </c>
    </row>
    <row r="9" spans="1:6" x14ac:dyDescent="0.25">
      <c r="A9" s="38" t="s">
        <v>61</v>
      </c>
      <c r="B9" s="49" t="s">
        <v>38</v>
      </c>
      <c r="D9" s="10" t="s">
        <v>23</v>
      </c>
      <c r="E9" s="69"/>
      <c r="F9" s="31">
        <f ca="1">F8*(B7+B8)</f>
        <v>856.88148789189188</v>
      </c>
    </row>
    <row r="10" spans="1:6" ht="15.75" thickBot="1" x14ac:dyDescent="0.3">
      <c r="A10" s="38" t="s">
        <v>58</v>
      </c>
      <c r="B10" s="48">
        <v>43435</v>
      </c>
      <c r="D10" s="10" t="s">
        <v>127</v>
      </c>
      <c r="E10" s="70"/>
      <c r="F10" s="7">
        <f ca="1">F8*(0.0145+0.062)</f>
        <v>226.03942697837834</v>
      </c>
    </row>
    <row r="11" spans="1:6" x14ac:dyDescent="0.25">
      <c r="B11" s="4"/>
      <c r="D11" s="14" t="s">
        <v>28</v>
      </c>
      <c r="E11" s="62" t="s">
        <v>31</v>
      </c>
      <c r="F11" s="32">
        <f ca="1">F8-F9-F10</f>
        <v>1871.8428364810807</v>
      </c>
    </row>
    <row r="12" spans="1:6" ht="15.75" thickBot="1" x14ac:dyDescent="0.3">
      <c r="D12" s="12" t="s">
        <v>21</v>
      </c>
      <c r="E12" s="63"/>
      <c r="F12" s="7">
        <f>'Retirement Pay'!M5</f>
        <v>3437.1</v>
      </c>
    </row>
    <row r="13" spans="1:6" x14ac:dyDescent="0.25">
      <c r="D13" s="11" t="s">
        <v>32</v>
      </c>
      <c r="F13" s="9">
        <f ca="1">F11+F12</f>
        <v>5308.942836481081</v>
      </c>
    </row>
  </sheetData>
  <mergeCells count="7">
    <mergeCell ref="A1:B1"/>
    <mergeCell ref="E11:E12"/>
    <mergeCell ref="D1:F1"/>
    <mergeCell ref="E2:E3"/>
    <mergeCell ref="E4:E5"/>
    <mergeCell ref="E6:E7"/>
    <mergeCell ref="E8:E10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BBBFC6-FFAB-4B7A-BBE1-D73F9714A2B0}">
          <x14:formula1>
            <xm:f>'Disability Payment'!$A$3:$A$7</xm:f>
          </x14:formula1>
          <xm:sqref>B4</xm:sqref>
        </x14:dataValidation>
        <x14:dataValidation type="list" allowBlank="1" showInputMessage="1" showErrorMessage="1" xr:uid="{707BD3D2-EADA-4195-B83B-0031E2A00AF2}">
          <x14:formula1>
            <xm:f>'2019 Pay Chart'!$A$2:$A$25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D786C-F615-4B90-817B-3F4BEBDC75C5}">
  <dimension ref="A1:F27"/>
  <sheetViews>
    <sheetView tabSelected="1" workbookViewId="0">
      <selection activeCell="B13" sqref="B13"/>
    </sheetView>
  </sheetViews>
  <sheetFormatPr defaultRowHeight="15" x14ac:dyDescent="0.25"/>
  <cols>
    <col min="1" max="1" width="18.28515625" bestFit="1" customWidth="1"/>
    <col min="2" max="2" width="11.140625" bestFit="1" customWidth="1"/>
    <col min="3" max="3" width="21.42578125" bestFit="1" customWidth="1"/>
    <col min="4" max="4" width="15" customWidth="1"/>
    <col min="5" max="6" width="12.5703125" bestFit="1" customWidth="1"/>
  </cols>
  <sheetData>
    <row r="1" spans="1:6" x14ac:dyDescent="0.25">
      <c r="A1" s="61" t="s">
        <v>129</v>
      </c>
      <c r="B1" s="61"/>
    </row>
    <row r="2" spans="1:6" x14ac:dyDescent="0.25">
      <c r="A2" s="33" t="s">
        <v>109</v>
      </c>
      <c r="B2" s="44">
        <v>0.22</v>
      </c>
    </row>
    <row r="3" spans="1:6" ht="30" x14ac:dyDescent="0.25">
      <c r="A3" s="34" t="s">
        <v>107</v>
      </c>
      <c r="B3" s="44">
        <v>0</v>
      </c>
    </row>
    <row r="4" spans="1:6" ht="30" x14ac:dyDescent="0.25">
      <c r="A4" s="34" t="s">
        <v>108</v>
      </c>
      <c r="B4" s="44">
        <v>7.0999999999999994E-2</v>
      </c>
    </row>
    <row r="5" spans="1:6" x14ac:dyDescent="0.25">
      <c r="A5" s="33" t="s">
        <v>122</v>
      </c>
      <c r="B5" s="44">
        <v>0</v>
      </c>
    </row>
    <row r="6" spans="1:6" x14ac:dyDescent="0.25">
      <c r="A6" s="33" t="s">
        <v>125</v>
      </c>
      <c r="B6" s="45">
        <v>0</v>
      </c>
    </row>
    <row r="11" spans="1:6" s="29" customFormat="1" ht="45" x14ac:dyDescent="0.25">
      <c r="A11" s="35"/>
      <c r="B11" s="35" t="s">
        <v>130</v>
      </c>
      <c r="C11" s="35" t="s">
        <v>110</v>
      </c>
      <c r="D11" s="35" t="s">
        <v>117</v>
      </c>
      <c r="E11" s="35" t="s">
        <v>124</v>
      </c>
      <c r="F11" s="35" t="s">
        <v>126</v>
      </c>
    </row>
    <row r="12" spans="1:6" x14ac:dyDescent="0.25">
      <c r="A12" s="33" t="s">
        <v>1</v>
      </c>
      <c r="B12" s="46">
        <v>6100</v>
      </c>
      <c r="C12" s="36">
        <f>B12*12</f>
        <v>73200</v>
      </c>
      <c r="D12" s="37">
        <f>C15</f>
        <v>100280.16</v>
      </c>
      <c r="E12" s="37">
        <f>E15</f>
        <v>124231.39920948616</v>
      </c>
      <c r="F12" s="47">
        <v>122000</v>
      </c>
    </row>
    <row r="13" spans="1:6" x14ac:dyDescent="0.25">
      <c r="A13" s="33" t="s">
        <v>105</v>
      </c>
      <c r="B13" s="45">
        <v>2000</v>
      </c>
      <c r="C13" s="36">
        <f>B13*12</f>
        <v>24000</v>
      </c>
      <c r="D13" s="43"/>
      <c r="E13" s="41"/>
      <c r="F13" s="41"/>
    </row>
    <row r="14" spans="1:6" x14ac:dyDescent="0.25">
      <c r="A14" s="33" t="s">
        <v>106</v>
      </c>
      <c r="B14" s="45">
        <v>256.68</v>
      </c>
      <c r="C14" s="36">
        <f>B14*12</f>
        <v>3080.16</v>
      </c>
      <c r="D14" s="43"/>
      <c r="E14" s="41"/>
      <c r="F14" s="41"/>
    </row>
    <row r="15" spans="1:6" x14ac:dyDescent="0.25">
      <c r="A15" s="33" t="s">
        <v>115</v>
      </c>
      <c r="B15" s="40"/>
      <c r="C15" s="36">
        <f>SUM(C12:C14)</f>
        <v>100280.16</v>
      </c>
      <c r="D15" s="36">
        <f>SUM(D12:D14)</f>
        <v>100280.16</v>
      </c>
      <c r="E15" s="36">
        <f>(E18+E17)/(1-B5)</f>
        <v>124231.39920948616</v>
      </c>
      <c r="F15" s="37">
        <f>F12</f>
        <v>122000</v>
      </c>
    </row>
    <row r="16" spans="1:6" x14ac:dyDescent="0.25">
      <c r="A16" s="33" t="s">
        <v>121</v>
      </c>
      <c r="B16" s="40"/>
      <c r="C16" s="42"/>
      <c r="D16" s="42"/>
      <c r="E16" s="37">
        <f>E15*B5</f>
        <v>0</v>
      </c>
      <c r="F16" s="37">
        <f>F15*B5</f>
        <v>0</v>
      </c>
    </row>
    <row r="17" spans="1:6" x14ac:dyDescent="0.25">
      <c r="A17" s="33" t="s">
        <v>120</v>
      </c>
      <c r="B17" s="40"/>
      <c r="C17" s="42"/>
      <c r="D17" s="42"/>
      <c r="E17" s="36">
        <f>B6</f>
        <v>0</v>
      </c>
      <c r="F17" s="36">
        <f>B6</f>
        <v>0</v>
      </c>
    </row>
    <row r="18" spans="1:6" x14ac:dyDescent="0.25">
      <c r="A18" s="33" t="s">
        <v>123</v>
      </c>
      <c r="B18" s="40"/>
      <c r="C18" s="36">
        <f>C15</f>
        <v>100280.16</v>
      </c>
      <c r="D18" s="36">
        <f>D15</f>
        <v>100280.16</v>
      </c>
      <c r="E18" s="37">
        <f>E24/(1-(B2+B4+0.0145+0.062))</f>
        <v>124231.39920948616</v>
      </c>
      <c r="F18" s="37">
        <f>F15-F16-F17</f>
        <v>122000</v>
      </c>
    </row>
    <row r="19" spans="1:6" x14ac:dyDescent="0.25">
      <c r="A19" s="33" t="s">
        <v>111</v>
      </c>
      <c r="B19" s="40"/>
      <c r="C19" s="36">
        <f>C12*B2</f>
        <v>16104</v>
      </c>
      <c r="D19" s="37">
        <f>D18*$B$2</f>
        <v>22061.635200000001</v>
      </c>
      <c r="E19" s="37">
        <f>E18*$B$2</f>
        <v>27330.907826086954</v>
      </c>
      <c r="F19" s="37">
        <f>F18*B2</f>
        <v>26840</v>
      </c>
    </row>
    <row r="20" spans="1:6" x14ac:dyDescent="0.25">
      <c r="A20" s="33" t="s">
        <v>112</v>
      </c>
      <c r="B20" s="40"/>
      <c r="C20" s="36">
        <f>C12*B3</f>
        <v>0</v>
      </c>
      <c r="D20" s="37">
        <f>D18*$B$4</f>
        <v>7119.8913599999996</v>
      </c>
      <c r="E20" s="37">
        <f>E18*$B$4</f>
        <v>8820.4293438735167</v>
      </c>
      <c r="F20" s="37">
        <f>F18*B4</f>
        <v>8662</v>
      </c>
    </row>
    <row r="21" spans="1:6" x14ac:dyDescent="0.25">
      <c r="A21" s="33" t="s">
        <v>113</v>
      </c>
      <c r="B21" s="40"/>
      <c r="C21" s="36">
        <f>C12*0.062</f>
        <v>4538.3999999999996</v>
      </c>
      <c r="D21" s="37">
        <f>D18*0.062</f>
        <v>6217.3699200000001</v>
      </c>
      <c r="E21" s="37">
        <f>E18*0.062</f>
        <v>7702.346750988142</v>
      </c>
      <c r="F21" s="37">
        <f>F18*0.062</f>
        <v>7564</v>
      </c>
    </row>
    <row r="22" spans="1:6" x14ac:dyDescent="0.25">
      <c r="A22" s="33" t="s">
        <v>114</v>
      </c>
      <c r="B22" s="41"/>
      <c r="C22" s="36">
        <f>C12*0.0145</f>
        <v>1061.4000000000001</v>
      </c>
      <c r="D22" s="37">
        <f>D18*0.0145</f>
        <v>1454.0623200000002</v>
      </c>
      <c r="E22" s="37">
        <f>E18*0.0145</f>
        <v>1801.3552885375493</v>
      </c>
      <c r="F22" s="37">
        <f>F18*0.0145</f>
        <v>1769</v>
      </c>
    </row>
    <row r="23" spans="1:6" x14ac:dyDescent="0.25">
      <c r="A23" s="33" t="s">
        <v>118</v>
      </c>
      <c r="B23" s="41"/>
      <c r="C23" s="37">
        <f>SUM(C19:C22)</f>
        <v>21703.800000000003</v>
      </c>
      <c r="D23" s="37">
        <f>SUM(D19:D22)</f>
        <v>36852.958799999993</v>
      </c>
      <c r="E23" s="37">
        <f>SUM(E19:E22)</f>
        <v>45655.03920948616</v>
      </c>
      <c r="F23" s="37">
        <f>SUM(F19:F22)</f>
        <v>44835</v>
      </c>
    </row>
    <row r="24" spans="1:6" x14ac:dyDescent="0.25">
      <c r="A24" s="33" t="s">
        <v>116</v>
      </c>
      <c r="B24" s="41"/>
      <c r="C24" s="37">
        <f>C15-C23</f>
        <v>78576.36</v>
      </c>
      <c r="D24" s="37">
        <f>D18-D23</f>
        <v>63427.20120000001</v>
      </c>
      <c r="E24" s="37">
        <f>C24</f>
        <v>78576.36</v>
      </c>
      <c r="F24" s="37">
        <f>F18-F23</f>
        <v>77165</v>
      </c>
    </row>
    <row r="25" spans="1:6" x14ac:dyDescent="0.25">
      <c r="A25" s="33" t="s">
        <v>119</v>
      </c>
      <c r="B25" s="41"/>
      <c r="C25" s="43"/>
      <c r="D25" s="39">
        <f>D24-C24</f>
        <v>-15149.15879999999</v>
      </c>
      <c r="E25" s="41"/>
      <c r="F25" s="60">
        <f>F24-C24</f>
        <v>-1411.3600000000006</v>
      </c>
    </row>
    <row r="26" spans="1:6" x14ac:dyDescent="0.25">
      <c r="C26" s="30"/>
    </row>
    <row r="27" spans="1:6" x14ac:dyDescent="0.25">
      <c r="C27" s="30"/>
    </row>
  </sheetData>
  <mergeCells count="1">
    <mergeCell ref="A1:B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3066-DE48-4D14-8D44-B95D19C214A7}">
  <sheetPr codeName="Sheet3"/>
  <dimension ref="A1:R43"/>
  <sheetViews>
    <sheetView workbookViewId="0">
      <pane ySplit="4" topLeftCell="A5" activePane="bottomLeft" state="frozen"/>
      <selection pane="bottomLeft" activeCell="H9" sqref="H9"/>
    </sheetView>
  </sheetViews>
  <sheetFormatPr defaultRowHeight="15" x14ac:dyDescent="0.25"/>
  <cols>
    <col min="1" max="1" width="7.42578125" bestFit="1" customWidth="1"/>
    <col min="2" max="2" width="7.42578125" customWidth="1"/>
    <col min="3" max="3" width="13.7109375" bestFit="1" customWidth="1"/>
    <col min="4" max="4" width="13.7109375" customWidth="1"/>
    <col min="5" max="5" width="27" bestFit="1" customWidth="1"/>
    <col min="6" max="6" width="27" customWidth="1"/>
    <col min="7" max="7" width="20.5703125" customWidth="1"/>
    <col min="8" max="8" width="11.5703125" bestFit="1" customWidth="1"/>
    <col min="9" max="9" width="12.7109375" bestFit="1" customWidth="1"/>
    <col min="10" max="11" width="12" bestFit="1" customWidth="1"/>
    <col min="12" max="12" width="21.85546875" bestFit="1" customWidth="1"/>
    <col min="13" max="13" width="21.140625" bestFit="1" customWidth="1"/>
    <col min="14" max="14" width="18.42578125" bestFit="1" customWidth="1"/>
    <col min="15" max="15" width="18.42578125" customWidth="1"/>
    <col min="16" max="16" width="13.7109375" bestFit="1" customWidth="1"/>
    <col min="17" max="17" width="10.5703125" bestFit="1" customWidth="1"/>
    <col min="18" max="18" width="11.5703125" bestFit="1" customWidth="1"/>
  </cols>
  <sheetData>
    <row r="1" spans="1:18" x14ac:dyDescent="0.25">
      <c r="A1" s="61" t="s">
        <v>131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 t="s">
        <v>8</v>
      </c>
      <c r="N2" s="52" t="s">
        <v>9</v>
      </c>
      <c r="O2" s="52"/>
      <c r="P2" s="52" t="s">
        <v>10</v>
      </c>
    </row>
    <row r="3" spans="1:1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>
        <f>'Retirment Pay Summary'!B6</f>
        <v>100</v>
      </c>
      <c r="N3" s="52" t="str">
        <f>'Retirment Pay Summary'!B4</f>
        <v>Married with Child</v>
      </c>
      <c r="O3" s="52"/>
      <c r="P3" s="52">
        <f>'Retirment Pay Summary'!B5</f>
        <v>2</v>
      </c>
      <c r="Q3" s="2"/>
    </row>
    <row r="4" spans="1:18" x14ac:dyDescent="0.25">
      <c r="A4" s="52" t="s">
        <v>0</v>
      </c>
      <c r="B4" s="52" t="s">
        <v>59</v>
      </c>
      <c r="C4" s="52" t="s">
        <v>60</v>
      </c>
      <c r="D4" s="52" t="s">
        <v>62</v>
      </c>
      <c r="E4" s="52" t="s">
        <v>63</v>
      </c>
      <c r="F4" s="52" t="s">
        <v>99</v>
      </c>
      <c r="G4" s="52" t="s">
        <v>64</v>
      </c>
      <c r="H4" s="52" t="s">
        <v>1</v>
      </c>
      <c r="I4" s="52" t="s">
        <v>17</v>
      </c>
      <c r="J4" s="52" t="s">
        <v>2</v>
      </c>
      <c r="K4" s="52" t="s">
        <v>3</v>
      </c>
      <c r="L4" s="52" t="s">
        <v>12</v>
      </c>
      <c r="M4" s="52" t="s">
        <v>11</v>
      </c>
      <c r="N4" s="52"/>
      <c r="O4" s="52" t="s">
        <v>24</v>
      </c>
      <c r="P4" s="52"/>
    </row>
    <row r="5" spans="1:18" x14ac:dyDescent="0.25">
      <c r="A5" s="53">
        <f>EDATE(A$41,36)</f>
        <v>44044</v>
      </c>
      <c r="B5" s="54">
        <f>YEAR(A5)</f>
        <v>2020</v>
      </c>
      <c r="C5" s="55">
        <f>EVEN((ROUNDDOWN((DATEDIF('Retirment Pay Summary'!$B$2,'Retirement Pay'!A5,"M")/12),0))-1)</f>
        <v>20</v>
      </c>
      <c r="D5" s="55" t="str">
        <f>IF(A5&gt;='Retirment Pay Summary'!$B$10, 'Retirment Pay Summary'!$B$9,(INDEX('2019 Pay Chart'!$A$2:$A$25,(MATCH('Retirment Pay Summary'!$B$9,'2019 Pay Chart'!$A$2:$A$25,)+1))))</f>
        <v>W-3</v>
      </c>
      <c r="E5" s="55" t="str">
        <f>"'" &amp;B5&amp;" Pay Chart'!$A$1:$W$25"</f>
        <v>'2020 Pay Chart'!$A$1:$W$25</v>
      </c>
      <c r="F5" s="55" t="str">
        <f>"'" &amp;B5&amp;" Pay Chart'!$A$1:$W$1"</f>
        <v>'2020 Pay Chart'!$A$1:$W$1</v>
      </c>
      <c r="G5" s="55">
        <f ca="1">MATCH(C5,INDIRECT(F5),0)</f>
        <v>13</v>
      </c>
      <c r="H5" s="56">
        <f t="shared" ref="H5" ca="1" si="0">VLOOKUP(D5,INDIRECT(E5),G5,FALSE)</f>
        <v>6713.7</v>
      </c>
      <c r="I5" s="55">
        <f>DATEDIF('Retirment Pay Summary'!B2,'Retirment Pay Summary'!B3,"M")-(12*20)</f>
        <v>13</v>
      </c>
      <c r="J5" s="57">
        <f>IF(I5=0,0.5,0.5+((0.025/12)*I5))</f>
        <v>0.52708333333333335</v>
      </c>
      <c r="K5" s="58">
        <f ca="1">AVERAGE(H5:H41)</f>
        <v>5995.5891891891879</v>
      </c>
      <c r="L5" s="56">
        <f ca="1">K5*J5</f>
        <v>3160.1751351351345</v>
      </c>
      <c r="M5" s="56">
        <f>VLOOKUP(N3,'Disability Payment'!A3:L7,MATCH(M$3,'Disability Payment'!A2:L2),TRUE)+IF(P$3&gt;=2,VLOOKUP("Additional Child",'Disability Payment'!A7:L7,MATCH(M$3,'Disability Payment'!A2:L2)),0)*(P$3-1)</f>
        <v>3437.1</v>
      </c>
      <c r="N5" s="56"/>
      <c r="O5" s="56">
        <f ca="1">IF(M$3&gt;=50,0.065*(L5),0.065*(L5-M5))</f>
        <v>205.41138378378375</v>
      </c>
      <c r="P5" s="56"/>
      <c r="Q5" s="5"/>
      <c r="R5" s="5"/>
    </row>
    <row r="6" spans="1:18" x14ac:dyDescent="0.25">
      <c r="A6" s="53">
        <f>EDATE(A$41,35)</f>
        <v>44013</v>
      </c>
      <c r="B6" s="54">
        <f t="shared" ref="B6:B41" si="1">YEAR(A6)</f>
        <v>2020</v>
      </c>
      <c r="C6" s="55">
        <f>EVEN((ROUNDDOWN((DATEDIF('Retirment Pay Summary'!$B$2,'Retirement Pay'!A6,"M")/12),0))-1)</f>
        <v>20</v>
      </c>
      <c r="D6" s="55" t="str">
        <f>IF(A6&gt;='Retirment Pay Summary'!$B$10, 'Retirment Pay Summary'!$B$9,(INDEX('2019 Pay Chart'!$A$2:$A$25,(MATCH('Retirment Pay Summary'!$B$9,'2019 Pay Chart'!$A$2:$A$25,)+1))))</f>
        <v>W-3</v>
      </c>
      <c r="E6" s="55" t="str">
        <f t="shared" ref="E6:E41" si="2">"'" &amp;B6&amp;" Pay Chart'!$A$1:$W$25"</f>
        <v>'2020 Pay Chart'!$A$1:$W$25</v>
      </c>
      <c r="F6" s="55" t="str">
        <f t="shared" ref="F6:F41" si="3">"'" &amp;B6&amp;" Pay Chart'!$A$1:$W$1"</f>
        <v>'2020 Pay Chart'!$A$1:$W$1</v>
      </c>
      <c r="G6" s="55">
        <f t="shared" ref="G6:G41" ca="1" si="4">MATCH(C6,INDIRECT(F6),0)</f>
        <v>13</v>
      </c>
      <c r="H6" s="56">
        <f t="shared" ref="H6:H10" ca="1" si="5">VLOOKUP(D6,INDIRECT(E6),G6,FALSE)</f>
        <v>6713.7</v>
      </c>
      <c r="I6" s="52"/>
      <c r="J6" s="52"/>
      <c r="K6" s="52"/>
      <c r="L6" s="52"/>
      <c r="M6" s="52"/>
      <c r="N6" s="52"/>
      <c r="O6" s="52"/>
      <c r="P6" s="52"/>
      <c r="Q6" s="25"/>
      <c r="R6" s="25"/>
    </row>
    <row r="7" spans="1:18" x14ac:dyDescent="0.25">
      <c r="A7" s="53">
        <f>EDATE(A$41,34)</f>
        <v>43983</v>
      </c>
      <c r="B7" s="54">
        <f t="shared" si="1"/>
        <v>2020</v>
      </c>
      <c r="C7" s="55">
        <f>EVEN((ROUNDDOWN((DATEDIF('Retirment Pay Summary'!$B$2,'Retirement Pay'!A7,"M")/12),0))-1)</f>
        <v>20</v>
      </c>
      <c r="D7" s="55" t="str">
        <f>IF(A7&gt;='Retirment Pay Summary'!$B$10, 'Retirment Pay Summary'!$B$9,(INDEX('2019 Pay Chart'!$A$2:$A$25,(MATCH('Retirment Pay Summary'!$B$9,'2019 Pay Chart'!$A$2:$A$25,)+1))))</f>
        <v>W-3</v>
      </c>
      <c r="E7" s="55" t="str">
        <f t="shared" si="2"/>
        <v>'2020 Pay Chart'!$A$1:$W$25</v>
      </c>
      <c r="F7" s="55" t="str">
        <f t="shared" si="3"/>
        <v>'2020 Pay Chart'!$A$1:$W$1</v>
      </c>
      <c r="G7" s="55">
        <f t="shared" ca="1" si="4"/>
        <v>13</v>
      </c>
      <c r="H7" s="56">
        <f t="shared" ca="1" si="5"/>
        <v>6713.7</v>
      </c>
      <c r="I7" s="52"/>
      <c r="J7" s="52"/>
      <c r="K7" s="52"/>
      <c r="L7" s="52"/>
      <c r="M7" s="52"/>
      <c r="N7" s="52"/>
      <c r="O7" s="52"/>
      <c r="P7" s="52"/>
      <c r="Q7" s="25"/>
      <c r="R7" s="25"/>
    </row>
    <row r="8" spans="1:18" x14ac:dyDescent="0.25">
      <c r="A8" s="53">
        <f>EDATE(A$41,33)</f>
        <v>43952</v>
      </c>
      <c r="B8" s="54">
        <f t="shared" si="1"/>
        <v>2020</v>
      </c>
      <c r="C8" s="55">
        <f>EVEN((ROUNDDOWN((DATEDIF('Retirment Pay Summary'!$B$2,'Retirement Pay'!A8,"M")/12),0))-1)</f>
        <v>20</v>
      </c>
      <c r="D8" s="55" t="str">
        <f>IF(A8&gt;='Retirment Pay Summary'!$B$10, 'Retirment Pay Summary'!$B$9,(INDEX('2019 Pay Chart'!$A$2:$A$25,(MATCH('Retirment Pay Summary'!$B$9,'2019 Pay Chart'!$A$2:$A$25,)+1))))</f>
        <v>W-3</v>
      </c>
      <c r="E8" s="55" t="str">
        <f t="shared" si="2"/>
        <v>'2020 Pay Chart'!$A$1:$W$25</v>
      </c>
      <c r="F8" s="55" t="str">
        <f t="shared" si="3"/>
        <v>'2020 Pay Chart'!$A$1:$W$1</v>
      </c>
      <c r="G8" s="55">
        <f t="shared" ca="1" si="4"/>
        <v>13</v>
      </c>
      <c r="H8" s="56">
        <f t="shared" ca="1" si="5"/>
        <v>6713.7</v>
      </c>
      <c r="I8" s="52"/>
      <c r="J8" s="52"/>
      <c r="K8" s="52"/>
      <c r="L8" s="52"/>
      <c r="M8" s="52"/>
      <c r="N8" s="52"/>
      <c r="O8" s="52"/>
      <c r="P8" s="52"/>
      <c r="Q8" s="25"/>
      <c r="R8" s="25"/>
    </row>
    <row r="9" spans="1:18" x14ac:dyDescent="0.25">
      <c r="A9" s="53">
        <f>EDATE(A$41,32)</f>
        <v>43922</v>
      </c>
      <c r="B9" s="54">
        <f t="shared" si="1"/>
        <v>2020</v>
      </c>
      <c r="C9" s="55">
        <f>EVEN((ROUNDDOWN((DATEDIF('Retirment Pay Summary'!$B$2,'Retirement Pay'!A9,"M")/12),0))-1)</f>
        <v>20</v>
      </c>
      <c r="D9" s="55" t="str">
        <f>IF(A9&gt;='Retirment Pay Summary'!$B$10, 'Retirment Pay Summary'!$B$9,(INDEX('2019 Pay Chart'!$A$2:$A$25,(MATCH('Retirment Pay Summary'!$B$9,'2019 Pay Chart'!$A$2:$A$25,)+1))))</f>
        <v>W-3</v>
      </c>
      <c r="E9" s="55" t="str">
        <f t="shared" si="2"/>
        <v>'2020 Pay Chart'!$A$1:$W$25</v>
      </c>
      <c r="F9" s="55" t="str">
        <f t="shared" si="3"/>
        <v>'2020 Pay Chart'!$A$1:$W$1</v>
      </c>
      <c r="G9" s="55">
        <f t="shared" ca="1" si="4"/>
        <v>13</v>
      </c>
      <c r="H9" s="56">
        <f t="shared" ca="1" si="5"/>
        <v>6713.7</v>
      </c>
      <c r="I9" s="52"/>
      <c r="J9" s="52"/>
      <c r="K9" s="52"/>
      <c r="L9" s="52"/>
      <c r="M9" s="52"/>
      <c r="N9" s="52"/>
      <c r="O9" s="52"/>
      <c r="P9" s="52"/>
      <c r="Q9" s="25"/>
      <c r="R9" s="25"/>
    </row>
    <row r="10" spans="1:18" x14ac:dyDescent="0.25">
      <c r="A10" s="53">
        <f>EDATE(A$41,31)</f>
        <v>43891</v>
      </c>
      <c r="B10" s="54">
        <f t="shared" si="1"/>
        <v>2020</v>
      </c>
      <c r="C10" s="55">
        <f>EVEN((ROUNDDOWN((DATEDIF('Retirment Pay Summary'!$B$2,'Retirement Pay'!A10,"M")/12),0))-1)</f>
        <v>20</v>
      </c>
      <c r="D10" s="55" t="str">
        <f>IF(A10&gt;='Retirment Pay Summary'!$B$10, 'Retirment Pay Summary'!$B$9,(INDEX('2019 Pay Chart'!$A$2:$A$25,(MATCH('Retirment Pay Summary'!$B$9,'2019 Pay Chart'!$A$2:$A$25,)+1))))</f>
        <v>W-3</v>
      </c>
      <c r="E10" s="55" t="str">
        <f t="shared" si="2"/>
        <v>'2020 Pay Chart'!$A$1:$W$25</v>
      </c>
      <c r="F10" s="55" t="str">
        <f t="shared" si="3"/>
        <v>'2020 Pay Chart'!$A$1:$W$1</v>
      </c>
      <c r="G10" s="55">
        <f t="shared" ca="1" si="4"/>
        <v>13</v>
      </c>
      <c r="H10" s="56">
        <f t="shared" ca="1" si="5"/>
        <v>6713.7</v>
      </c>
      <c r="I10" s="52"/>
      <c r="J10" s="52"/>
      <c r="K10" s="52"/>
      <c r="L10" s="52"/>
      <c r="M10" s="52"/>
      <c r="N10" s="52"/>
      <c r="O10" s="52"/>
      <c r="P10" s="52"/>
      <c r="Q10" s="25"/>
      <c r="R10" s="25"/>
    </row>
    <row r="11" spans="1:18" x14ac:dyDescent="0.25">
      <c r="A11" s="53">
        <f>EDATE(A$41,30)</f>
        <v>43862</v>
      </c>
      <c r="B11" s="54">
        <f t="shared" si="1"/>
        <v>2020</v>
      </c>
      <c r="C11" s="55">
        <f>EVEN((ROUNDDOWN((DATEDIF('Retirment Pay Summary'!$B$2,'Retirement Pay'!A11,"M")/12),0))-1)</f>
        <v>20</v>
      </c>
      <c r="D11" s="55" t="str">
        <f>IF(A11&gt;='Retirment Pay Summary'!$B$10, 'Retirment Pay Summary'!$B$9,(INDEX('2019 Pay Chart'!$A$2:$A$25,(MATCH('Retirment Pay Summary'!$B$9,'2019 Pay Chart'!$A$2:$A$25,)+1))))</f>
        <v>W-3</v>
      </c>
      <c r="E11" s="55" t="str">
        <f t="shared" si="2"/>
        <v>'2020 Pay Chart'!$A$1:$W$25</v>
      </c>
      <c r="F11" s="55" t="str">
        <f t="shared" si="3"/>
        <v>'2020 Pay Chart'!$A$1:$W$1</v>
      </c>
      <c r="G11" s="55">
        <f ca="1">MATCH(C11,INDIRECT(F11),0)</f>
        <v>13</v>
      </c>
      <c r="H11" s="56">
        <f ca="1">VLOOKUP(D11,INDIRECT(E11),G11,FALSE)</f>
        <v>6713.7</v>
      </c>
      <c r="I11" s="52"/>
      <c r="J11" s="52"/>
      <c r="K11" s="52"/>
      <c r="L11" s="52"/>
      <c r="M11" s="52"/>
      <c r="N11" s="52"/>
      <c r="O11" s="52"/>
      <c r="P11" s="52"/>
      <c r="Q11" s="25"/>
      <c r="R11" s="25"/>
    </row>
    <row r="12" spans="1:18" x14ac:dyDescent="0.25">
      <c r="A12" s="53">
        <f>EDATE(A$41,29)</f>
        <v>43831</v>
      </c>
      <c r="B12" s="54">
        <f t="shared" si="1"/>
        <v>2020</v>
      </c>
      <c r="C12" s="55">
        <f>EVEN((ROUNDDOWN((DATEDIF('Retirment Pay Summary'!$B$2,'Retirement Pay'!A12,"M")/12),0))-1)</f>
        <v>20</v>
      </c>
      <c r="D12" s="55" t="str">
        <f>IF(A12&gt;='Retirment Pay Summary'!$B$10, 'Retirment Pay Summary'!$B$9,(INDEX('2019 Pay Chart'!$A$2:$A$25,(MATCH('Retirment Pay Summary'!$B$9,'2019 Pay Chart'!$A$2:$A$25,)+1))))</f>
        <v>W-3</v>
      </c>
      <c r="E12" s="55" t="str">
        <f t="shared" si="2"/>
        <v>'2020 Pay Chart'!$A$1:$W$25</v>
      </c>
      <c r="F12" s="55" t="str">
        <f t="shared" si="3"/>
        <v>'2020 Pay Chart'!$A$1:$W$1</v>
      </c>
      <c r="G12" s="55">
        <f t="shared" ca="1" si="4"/>
        <v>13</v>
      </c>
      <c r="H12" s="56">
        <f t="shared" ref="H12:H41" ca="1" si="6">VLOOKUP(D12,INDIRECT(E12),G12,FALSE)</f>
        <v>6713.7</v>
      </c>
      <c r="I12" s="52"/>
      <c r="J12" s="52"/>
      <c r="K12" s="52"/>
      <c r="L12" s="52"/>
      <c r="M12" s="52"/>
      <c r="N12" s="52"/>
      <c r="O12" s="52"/>
      <c r="P12" s="52"/>
      <c r="Q12" s="25"/>
      <c r="R12" s="25"/>
    </row>
    <row r="13" spans="1:18" x14ac:dyDescent="0.25">
      <c r="A13" s="53">
        <f>EDATE(A$41,28)</f>
        <v>43800</v>
      </c>
      <c r="B13" s="54">
        <f t="shared" si="1"/>
        <v>2019</v>
      </c>
      <c r="C13" s="55">
        <f>EVEN((ROUNDDOWN((DATEDIF('Retirment Pay Summary'!$B$2,'Retirement Pay'!A13,"M")/12),0))-1)</f>
        <v>20</v>
      </c>
      <c r="D13" s="55" t="str">
        <f>IF(A13&gt;='Retirment Pay Summary'!$B$10, 'Retirment Pay Summary'!$B$9,(INDEX('2019 Pay Chart'!$A$2:$A$25,(MATCH('Retirment Pay Summary'!$B$9,'2019 Pay Chart'!$A$2:$A$25,)+1))))</f>
        <v>W-3</v>
      </c>
      <c r="E13" s="55" t="str">
        <f t="shared" si="2"/>
        <v>'2019 Pay Chart'!$A$1:$W$25</v>
      </c>
      <c r="F13" s="55" t="str">
        <f t="shared" si="3"/>
        <v>'2019 Pay Chart'!$A$1:$W$1</v>
      </c>
      <c r="G13" s="55">
        <f t="shared" ca="1" si="4"/>
        <v>13</v>
      </c>
      <c r="H13" s="56">
        <f t="shared" ca="1" si="6"/>
        <v>6511.8</v>
      </c>
      <c r="I13" s="52"/>
      <c r="J13" s="52"/>
      <c r="K13" s="52"/>
      <c r="L13" s="52"/>
      <c r="M13" s="52"/>
      <c r="N13" s="52"/>
      <c r="O13" s="52"/>
      <c r="P13" s="52"/>
      <c r="Q13" s="25"/>
      <c r="R13" s="25"/>
    </row>
    <row r="14" spans="1:18" x14ac:dyDescent="0.25">
      <c r="A14" s="53">
        <f>EDATE(A$41,27)</f>
        <v>43770</v>
      </c>
      <c r="B14" s="54">
        <f t="shared" si="1"/>
        <v>2019</v>
      </c>
      <c r="C14" s="55">
        <f>EVEN((ROUNDDOWN((DATEDIF('Retirment Pay Summary'!$B$2,'Retirement Pay'!A14,"M")/12),0))-1)</f>
        <v>20</v>
      </c>
      <c r="D14" s="55" t="str">
        <f>IF(A14&gt;='Retirment Pay Summary'!$B$10, 'Retirment Pay Summary'!$B$9,(INDEX('2019 Pay Chart'!$A$2:$A$25,(MATCH('Retirment Pay Summary'!$B$9,'2019 Pay Chart'!$A$2:$A$25,)+1))))</f>
        <v>W-3</v>
      </c>
      <c r="E14" s="55" t="str">
        <f t="shared" si="2"/>
        <v>'2019 Pay Chart'!$A$1:$W$25</v>
      </c>
      <c r="F14" s="55" t="str">
        <f t="shared" si="3"/>
        <v>'2019 Pay Chart'!$A$1:$W$1</v>
      </c>
      <c r="G14" s="55">
        <f t="shared" ca="1" si="4"/>
        <v>13</v>
      </c>
      <c r="H14" s="56">
        <f t="shared" ca="1" si="6"/>
        <v>6511.8</v>
      </c>
      <c r="I14" s="52"/>
      <c r="J14" s="52"/>
      <c r="K14" s="52"/>
      <c r="L14" s="52"/>
      <c r="M14" s="52"/>
      <c r="N14" s="52"/>
      <c r="O14" s="52"/>
      <c r="P14" s="52"/>
      <c r="Q14" s="25"/>
      <c r="R14" s="25"/>
    </row>
    <row r="15" spans="1:18" x14ac:dyDescent="0.25">
      <c r="A15" s="53">
        <f>EDATE(A$41,26)</f>
        <v>43739</v>
      </c>
      <c r="B15" s="54">
        <f t="shared" si="1"/>
        <v>2019</v>
      </c>
      <c r="C15" s="55">
        <f>EVEN((ROUNDDOWN((DATEDIF('Retirment Pay Summary'!$B$2,'Retirement Pay'!A15,"M")/12),0))-1)</f>
        <v>20</v>
      </c>
      <c r="D15" s="55" t="str">
        <f>IF(A15&gt;='Retirment Pay Summary'!$B$10, 'Retirment Pay Summary'!$B$9,(INDEX('2019 Pay Chart'!$A$2:$A$25,(MATCH('Retirment Pay Summary'!$B$9,'2019 Pay Chart'!$A$2:$A$25,)+1))))</f>
        <v>W-3</v>
      </c>
      <c r="E15" s="55" t="str">
        <f t="shared" si="2"/>
        <v>'2019 Pay Chart'!$A$1:$W$25</v>
      </c>
      <c r="F15" s="55" t="str">
        <f t="shared" si="3"/>
        <v>'2019 Pay Chart'!$A$1:$W$1</v>
      </c>
      <c r="G15" s="55">
        <f t="shared" ca="1" si="4"/>
        <v>13</v>
      </c>
      <c r="H15" s="56">
        <f t="shared" ca="1" si="6"/>
        <v>6511.8</v>
      </c>
      <c r="I15" s="52"/>
      <c r="J15" s="52"/>
      <c r="K15" s="52"/>
      <c r="L15" s="52"/>
      <c r="M15" s="52"/>
      <c r="N15" s="52"/>
      <c r="O15" s="52"/>
      <c r="P15" s="52"/>
      <c r="Q15" s="25"/>
      <c r="R15" s="25"/>
    </row>
    <row r="16" spans="1:18" x14ac:dyDescent="0.25">
      <c r="A16" s="53">
        <f>EDATE(A$41,25)</f>
        <v>43709</v>
      </c>
      <c r="B16" s="54">
        <f t="shared" si="1"/>
        <v>2019</v>
      </c>
      <c r="C16" s="55">
        <f>EVEN((ROUNDDOWN((DATEDIF('Retirment Pay Summary'!$B$2,'Retirement Pay'!A16,"M")/12),0))-1)</f>
        <v>20</v>
      </c>
      <c r="D16" s="55" t="str">
        <f>IF(A16&gt;='Retirment Pay Summary'!$B$10, 'Retirment Pay Summary'!$B$9,(INDEX('2019 Pay Chart'!$A$2:$A$25,(MATCH('Retirment Pay Summary'!$B$9,'2019 Pay Chart'!$A$2:$A$25,)+1))))</f>
        <v>W-3</v>
      </c>
      <c r="E16" s="55" t="str">
        <f t="shared" si="2"/>
        <v>'2019 Pay Chart'!$A$1:$W$25</v>
      </c>
      <c r="F16" s="55" t="str">
        <f t="shared" si="3"/>
        <v>'2019 Pay Chart'!$A$1:$W$1</v>
      </c>
      <c r="G16" s="55">
        <f t="shared" ca="1" si="4"/>
        <v>13</v>
      </c>
      <c r="H16" s="56">
        <f t="shared" ca="1" si="6"/>
        <v>6511.8</v>
      </c>
      <c r="I16" s="52"/>
      <c r="J16" s="52"/>
      <c r="K16" s="52"/>
      <c r="L16" s="52"/>
      <c r="M16" s="52"/>
      <c r="N16" s="52"/>
      <c r="O16" s="52"/>
      <c r="P16" s="52"/>
      <c r="Q16" s="25"/>
      <c r="R16" s="25"/>
    </row>
    <row r="17" spans="1:18" x14ac:dyDescent="0.25">
      <c r="A17" s="53">
        <f>EDATE(A$41,24)</f>
        <v>43678</v>
      </c>
      <c r="B17" s="54">
        <f t="shared" si="1"/>
        <v>2019</v>
      </c>
      <c r="C17" s="55">
        <f>EVEN((ROUNDDOWN((DATEDIF('Retirment Pay Summary'!$B$2,'Retirement Pay'!A17,"M")/12),0))-1)</f>
        <v>20</v>
      </c>
      <c r="D17" s="55" t="str">
        <f>IF(A17&gt;='Retirment Pay Summary'!$B$10, 'Retirment Pay Summary'!$B$9,(INDEX('2019 Pay Chart'!$A$2:$A$25,(MATCH('Retirment Pay Summary'!$B$9,'2019 Pay Chart'!$A$2:$A$25,)+1))))</f>
        <v>W-3</v>
      </c>
      <c r="E17" s="55" t="str">
        <f t="shared" si="2"/>
        <v>'2019 Pay Chart'!$A$1:$W$25</v>
      </c>
      <c r="F17" s="55" t="str">
        <f t="shared" si="3"/>
        <v>'2019 Pay Chart'!$A$1:$W$1</v>
      </c>
      <c r="G17" s="55">
        <f t="shared" ca="1" si="4"/>
        <v>13</v>
      </c>
      <c r="H17" s="56">
        <f t="shared" ca="1" si="6"/>
        <v>6511.8</v>
      </c>
      <c r="I17" s="52"/>
      <c r="J17" s="52"/>
      <c r="K17" s="52"/>
      <c r="L17" s="52"/>
      <c r="M17" s="52"/>
      <c r="N17" s="52"/>
      <c r="O17" s="52"/>
      <c r="P17" s="52"/>
      <c r="Q17" s="25"/>
      <c r="R17" s="25"/>
    </row>
    <row r="18" spans="1:18" x14ac:dyDescent="0.25">
      <c r="A18" s="53">
        <f>EDATE(A$41,23)</f>
        <v>43647</v>
      </c>
      <c r="B18" s="54">
        <f t="shared" si="1"/>
        <v>2019</v>
      </c>
      <c r="C18" s="55">
        <f>EVEN((ROUNDDOWN((DATEDIF('Retirment Pay Summary'!$B$2,'Retirement Pay'!A18,"M")/12),0))-1)</f>
        <v>18</v>
      </c>
      <c r="D18" s="55" t="str">
        <f>IF(A18&gt;='Retirment Pay Summary'!$B$10, 'Retirment Pay Summary'!$B$9,(INDEX('2019 Pay Chart'!$A$2:$A$25,(MATCH('Retirment Pay Summary'!$B$9,'2019 Pay Chart'!$A$2:$A$25,)+1))))</f>
        <v>W-3</v>
      </c>
      <c r="E18" s="55" t="str">
        <f t="shared" si="2"/>
        <v>'2019 Pay Chart'!$A$1:$W$25</v>
      </c>
      <c r="F18" s="55" t="str">
        <f t="shared" si="3"/>
        <v>'2019 Pay Chart'!$A$1:$W$1</v>
      </c>
      <c r="G18" s="55">
        <f t="shared" ca="1" si="4"/>
        <v>12</v>
      </c>
      <c r="H18" s="56">
        <f t="shared" ca="1" si="6"/>
        <v>6261</v>
      </c>
      <c r="I18" s="52"/>
      <c r="J18" s="52"/>
      <c r="K18" s="52"/>
      <c r="L18" s="52"/>
      <c r="M18" s="52"/>
      <c r="N18" s="52"/>
      <c r="O18" s="52"/>
      <c r="P18" s="52"/>
      <c r="Q18" s="25"/>
      <c r="R18" s="25"/>
    </row>
    <row r="19" spans="1:18" x14ac:dyDescent="0.25">
      <c r="A19" s="53">
        <f>EDATE(A$41,22)</f>
        <v>43617</v>
      </c>
      <c r="B19" s="54">
        <f t="shared" si="1"/>
        <v>2019</v>
      </c>
      <c r="C19" s="55">
        <f>EVEN((ROUNDDOWN((DATEDIF('Retirment Pay Summary'!$B$2,'Retirement Pay'!A19,"M")/12),0))-1)</f>
        <v>18</v>
      </c>
      <c r="D19" s="55" t="str">
        <f>IF(A19&gt;='Retirment Pay Summary'!$B$10, 'Retirment Pay Summary'!$B$9,(INDEX('2019 Pay Chart'!$A$2:$A$25,(MATCH('Retirment Pay Summary'!$B$9,'2019 Pay Chart'!$A$2:$A$25,)+1))))</f>
        <v>W-3</v>
      </c>
      <c r="E19" s="55" t="str">
        <f t="shared" si="2"/>
        <v>'2019 Pay Chart'!$A$1:$W$25</v>
      </c>
      <c r="F19" s="55" t="str">
        <f t="shared" si="3"/>
        <v>'2019 Pay Chart'!$A$1:$W$1</v>
      </c>
      <c r="G19" s="55">
        <f t="shared" ca="1" si="4"/>
        <v>12</v>
      </c>
      <c r="H19" s="56">
        <f t="shared" ca="1" si="6"/>
        <v>6261</v>
      </c>
      <c r="I19" s="52"/>
      <c r="J19" s="52"/>
      <c r="K19" s="52"/>
      <c r="L19" s="52"/>
      <c r="M19" s="52"/>
      <c r="N19" s="52"/>
      <c r="O19" s="52"/>
      <c r="P19" s="52"/>
      <c r="Q19" s="25"/>
      <c r="R19" s="25"/>
    </row>
    <row r="20" spans="1:18" x14ac:dyDescent="0.25">
      <c r="A20" s="53">
        <f>EDATE(A$41,21)</f>
        <v>43586</v>
      </c>
      <c r="B20" s="54">
        <f t="shared" si="1"/>
        <v>2019</v>
      </c>
      <c r="C20" s="55">
        <f>EVEN((ROUNDDOWN((DATEDIF('Retirment Pay Summary'!$B$2,'Retirement Pay'!A20,"M")/12),0))-1)</f>
        <v>18</v>
      </c>
      <c r="D20" s="55" t="str">
        <f>IF(A20&gt;='Retirment Pay Summary'!$B$10, 'Retirment Pay Summary'!$B$9,(INDEX('2019 Pay Chart'!$A$2:$A$25,(MATCH('Retirment Pay Summary'!$B$9,'2019 Pay Chart'!$A$2:$A$25,)+1))))</f>
        <v>W-3</v>
      </c>
      <c r="E20" s="55" t="str">
        <f t="shared" si="2"/>
        <v>'2019 Pay Chart'!$A$1:$W$25</v>
      </c>
      <c r="F20" s="55" t="str">
        <f t="shared" si="3"/>
        <v>'2019 Pay Chart'!$A$1:$W$1</v>
      </c>
      <c r="G20" s="55">
        <f t="shared" ca="1" si="4"/>
        <v>12</v>
      </c>
      <c r="H20" s="56">
        <f t="shared" ca="1" si="6"/>
        <v>6261</v>
      </c>
      <c r="I20" s="52"/>
      <c r="J20" s="52"/>
      <c r="K20" s="52"/>
      <c r="L20" s="52"/>
      <c r="M20" s="52"/>
      <c r="N20" s="52"/>
      <c r="O20" s="52"/>
      <c r="P20" s="52"/>
      <c r="Q20" s="25"/>
      <c r="R20" s="25"/>
    </row>
    <row r="21" spans="1:18" x14ac:dyDescent="0.25">
      <c r="A21" s="53">
        <f>EDATE(A$41,20)</f>
        <v>43556</v>
      </c>
      <c r="B21" s="54">
        <f t="shared" si="1"/>
        <v>2019</v>
      </c>
      <c r="C21" s="55">
        <f>EVEN((ROUNDDOWN((DATEDIF('Retirment Pay Summary'!$B$2,'Retirement Pay'!A21,"M")/12),0))-1)</f>
        <v>18</v>
      </c>
      <c r="D21" s="55" t="str">
        <f>IF(A21&gt;='Retirment Pay Summary'!$B$10, 'Retirment Pay Summary'!$B$9,(INDEX('2019 Pay Chart'!$A$2:$A$25,(MATCH('Retirment Pay Summary'!$B$9,'2019 Pay Chart'!$A$2:$A$25,)+1))))</f>
        <v>W-3</v>
      </c>
      <c r="E21" s="55" t="str">
        <f t="shared" si="2"/>
        <v>'2019 Pay Chart'!$A$1:$W$25</v>
      </c>
      <c r="F21" s="55" t="str">
        <f t="shared" si="3"/>
        <v>'2019 Pay Chart'!$A$1:$W$1</v>
      </c>
      <c r="G21" s="55">
        <f t="shared" ca="1" si="4"/>
        <v>12</v>
      </c>
      <c r="H21" s="56">
        <f t="shared" ca="1" si="6"/>
        <v>6261</v>
      </c>
      <c r="I21" s="52"/>
      <c r="J21" s="52"/>
      <c r="K21" s="52"/>
      <c r="L21" s="52"/>
      <c r="M21" s="52"/>
      <c r="N21" s="52"/>
      <c r="O21" s="52"/>
      <c r="P21" s="52"/>
      <c r="Q21" s="25"/>
      <c r="R21" s="25"/>
    </row>
    <row r="22" spans="1:18" x14ac:dyDescent="0.25">
      <c r="A22" s="53">
        <f>EDATE(A$41,19)</f>
        <v>43525</v>
      </c>
      <c r="B22" s="54">
        <f t="shared" si="1"/>
        <v>2019</v>
      </c>
      <c r="C22" s="55">
        <f>EVEN((ROUNDDOWN((DATEDIF('Retirment Pay Summary'!$B$2,'Retirement Pay'!A22,"M")/12),0))-1)</f>
        <v>18</v>
      </c>
      <c r="D22" s="55" t="str">
        <f>IF(A22&gt;='Retirment Pay Summary'!$B$10, 'Retirment Pay Summary'!$B$9,(INDEX('2019 Pay Chart'!$A$2:$A$25,(MATCH('Retirment Pay Summary'!$B$9,'2019 Pay Chart'!$A$2:$A$25,)+1))))</f>
        <v>W-3</v>
      </c>
      <c r="E22" s="55" t="str">
        <f t="shared" si="2"/>
        <v>'2019 Pay Chart'!$A$1:$W$25</v>
      </c>
      <c r="F22" s="55" t="str">
        <f t="shared" si="3"/>
        <v>'2019 Pay Chart'!$A$1:$W$1</v>
      </c>
      <c r="G22" s="55">
        <f t="shared" ca="1" si="4"/>
        <v>12</v>
      </c>
      <c r="H22" s="56">
        <f t="shared" ca="1" si="6"/>
        <v>6261</v>
      </c>
      <c r="I22" s="52"/>
      <c r="J22" s="52"/>
      <c r="K22" s="52"/>
      <c r="L22" s="52"/>
      <c r="M22" s="52"/>
      <c r="N22" s="52"/>
      <c r="O22" s="52"/>
      <c r="P22" s="52"/>
      <c r="Q22" s="25"/>
      <c r="R22" s="25"/>
    </row>
    <row r="23" spans="1:18" x14ac:dyDescent="0.25">
      <c r="A23" s="53">
        <f>EDATE(A$41,18)</f>
        <v>43497</v>
      </c>
      <c r="B23" s="54">
        <f t="shared" si="1"/>
        <v>2019</v>
      </c>
      <c r="C23" s="55">
        <f>EVEN((ROUNDDOWN((DATEDIF('Retirment Pay Summary'!$B$2,'Retirement Pay'!A23,"M")/12),0))-1)</f>
        <v>18</v>
      </c>
      <c r="D23" s="55" t="str">
        <f>IF(A23&gt;='Retirment Pay Summary'!$B$10, 'Retirment Pay Summary'!$B$9,(INDEX('2019 Pay Chart'!$A$2:$A$25,(MATCH('Retirment Pay Summary'!$B$9,'2019 Pay Chart'!$A$2:$A$25,)+1))))</f>
        <v>W-3</v>
      </c>
      <c r="E23" s="55" t="str">
        <f t="shared" si="2"/>
        <v>'2019 Pay Chart'!$A$1:$W$25</v>
      </c>
      <c r="F23" s="55" t="str">
        <f t="shared" si="3"/>
        <v>'2019 Pay Chart'!$A$1:$W$1</v>
      </c>
      <c r="G23" s="55">
        <f t="shared" ca="1" si="4"/>
        <v>12</v>
      </c>
      <c r="H23" s="56">
        <f t="shared" ca="1" si="6"/>
        <v>6261</v>
      </c>
      <c r="I23" s="52"/>
      <c r="J23" s="52"/>
      <c r="K23" s="52"/>
      <c r="L23" s="52"/>
      <c r="M23" s="52"/>
      <c r="N23" s="52"/>
      <c r="O23" s="52"/>
      <c r="P23" s="52"/>
      <c r="Q23" s="25"/>
      <c r="R23" s="25"/>
    </row>
    <row r="24" spans="1:18" x14ac:dyDescent="0.25">
      <c r="A24" s="53">
        <f>EDATE(A$41,17)</f>
        <v>43466</v>
      </c>
      <c r="B24" s="54">
        <f t="shared" si="1"/>
        <v>2019</v>
      </c>
      <c r="C24" s="55">
        <f>EVEN((ROUNDDOWN((DATEDIF('Retirment Pay Summary'!$B$2,'Retirement Pay'!A24,"M")/12),0))-1)</f>
        <v>18</v>
      </c>
      <c r="D24" s="55" t="str">
        <f>IF(A24&gt;='Retirment Pay Summary'!$B$10, 'Retirment Pay Summary'!$B$9,(INDEX('2019 Pay Chart'!$A$2:$A$25,(MATCH('Retirment Pay Summary'!$B$9,'2019 Pay Chart'!$A$2:$A$25,)+1))))</f>
        <v>W-3</v>
      </c>
      <c r="E24" s="55" t="str">
        <f t="shared" si="2"/>
        <v>'2019 Pay Chart'!$A$1:$W$25</v>
      </c>
      <c r="F24" s="55" t="str">
        <f t="shared" si="3"/>
        <v>'2019 Pay Chart'!$A$1:$W$1</v>
      </c>
      <c r="G24" s="55">
        <f t="shared" ca="1" si="4"/>
        <v>12</v>
      </c>
      <c r="H24" s="56">
        <f t="shared" ca="1" si="6"/>
        <v>6261</v>
      </c>
      <c r="I24" s="52"/>
      <c r="J24" s="52"/>
      <c r="K24" s="52"/>
      <c r="L24" s="52"/>
      <c r="M24" s="52"/>
      <c r="N24" s="52"/>
      <c r="O24" s="52"/>
      <c r="P24" s="52"/>
      <c r="Q24" s="25"/>
      <c r="R24" s="25"/>
    </row>
    <row r="25" spans="1:18" x14ac:dyDescent="0.25">
      <c r="A25" s="53">
        <f>EDATE(A$41,16)</f>
        <v>43435</v>
      </c>
      <c r="B25" s="54">
        <f t="shared" si="1"/>
        <v>2018</v>
      </c>
      <c r="C25" s="55">
        <f>EVEN((ROUNDDOWN((DATEDIF('Retirment Pay Summary'!$B$2,'Retirement Pay'!A25,"M")/12),0))-1)</f>
        <v>18</v>
      </c>
      <c r="D25" s="55" t="str">
        <f>IF(A25&gt;='Retirment Pay Summary'!$B$10, 'Retirment Pay Summary'!$B$9,(INDEX('2019 Pay Chart'!$A$2:$A$25,(MATCH('Retirment Pay Summary'!$B$9,'2019 Pay Chart'!$A$2:$A$25,)+1))))</f>
        <v>W-3</v>
      </c>
      <c r="E25" s="55" t="str">
        <f t="shared" si="2"/>
        <v>'2018 Pay Chart'!$A$1:$W$25</v>
      </c>
      <c r="F25" s="55" t="str">
        <f t="shared" si="3"/>
        <v>'2018 Pay Chart'!$A$1:$W$1</v>
      </c>
      <c r="G25" s="55">
        <f t="shared" ca="1" si="4"/>
        <v>12</v>
      </c>
      <c r="H25" s="56">
        <f t="shared" ca="1" si="6"/>
        <v>6102.3</v>
      </c>
      <c r="I25" s="52"/>
      <c r="J25" s="52"/>
      <c r="K25" s="52"/>
      <c r="L25" s="52"/>
      <c r="M25" s="52"/>
      <c r="N25" s="52"/>
      <c r="O25" s="52"/>
      <c r="P25" s="52"/>
      <c r="Q25" s="25"/>
      <c r="R25" s="25"/>
    </row>
    <row r="26" spans="1:18" x14ac:dyDescent="0.25">
      <c r="A26" s="53">
        <f>EDATE(A$41,15)</f>
        <v>43405</v>
      </c>
      <c r="B26" s="54">
        <f t="shared" si="1"/>
        <v>2018</v>
      </c>
      <c r="C26" s="55">
        <f>EVEN((ROUNDDOWN((DATEDIF('Retirment Pay Summary'!$B$2,'Retirement Pay'!A26,"M")/12),0))-1)</f>
        <v>18</v>
      </c>
      <c r="D26" s="55" t="str">
        <f>IF(A26&gt;='Retirment Pay Summary'!$B$10, 'Retirment Pay Summary'!$B$9,(INDEX('2019 Pay Chart'!$A$2:$A$25,(MATCH('Retirment Pay Summary'!$B$9,'2019 Pay Chart'!$A$2:$A$25,)+1))))</f>
        <v>W-2</v>
      </c>
      <c r="E26" s="55" t="str">
        <f t="shared" si="2"/>
        <v>'2018 Pay Chart'!$A$1:$W$25</v>
      </c>
      <c r="F26" s="55" t="str">
        <f t="shared" si="3"/>
        <v>'2018 Pay Chart'!$A$1:$W$1</v>
      </c>
      <c r="G26" s="55">
        <f t="shared" ca="1" si="4"/>
        <v>12</v>
      </c>
      <c r="H26" s="56">
        <f t="shared" ca="1" si="6"/>
        <v>5391.9</v>
      </c>
      <c r="I26" s="52"/>
      <c r="J26" s="52"/>
      <c r="K26" s="52"/>
      <c r="L26" s="52"/>
      <c r="M26" s="52"/>
      <c r="N26" s="52"/>
      <c r="O26" s="52"/>
      <c r="P26" s="52"/>
      <c r="Q26" s="25"/>
      <c r="R26" s="25"/>
    </row>
    <row r="27" spans="1:18" x14ac:dyDescent="0.25">
      <c r="A27" s="53">
        <f>EDATE(A$41,14)</f>
        <v>43374</v>
      </c>
      <c r="B27" s="54">
        <f t="shared" si="1"/>
        <v>2018</v>
      </c>
      <c r="C27" s="55">
        <f>EVEN((ROUNDDOWN((DATEDIF('Retirment Pay Summary'!$B$2,'Retirement Pay'!A27,"M")/12),0))-1)</f>
        <v>18</v>
      </c>
      <c r="D27" s="55" t="str">
        <f>IF(A27&gt;='Retirment Pay Summary'!$B$10, 'Retirment Pay Summary'!$B$9,(INDEX('2019 Pay Chart'!$A$2:$A$25,(MATCH('Retirment Pay Summary'!$B$9,'2019 Pay Chart'!$A$2:$A$25,)+1))))</f>
        <v>W-2</v>
      </c>
      <c r="E27" s="55" t="str">
        <f t="shared" si="2"/>
        <v>'2018 Pay Chart'!$A$1:$W$25</v>
      </c>
      <c r="F27" s="55" t="str">
        <f t="shared" si="3"/>
        <v>'2018 Pay Chart'!$A$1:$W$1</v>
      </c>
      <c r="G27" s="55">
        <f t="shared" ca="1" si="4"/>
        <v>12</v>
      </c>
      <c r="H27" s="56">
        <f t="shared" ca="1" si="6"/>
        <v>5391.9</v>
      </c>
      <c r="I27" s="52"/>
      <c r="J27" s="52"/>
      <c r="K27" s="52"/>
      <c r="L27" s="52"/>
      <c r="M27" s="52"/>
      <c r="N27" s="52"/>
      <c r="O27" s="52"/>
      <c r="P27" s="52"/>
      <c r="Q27" s="25"/>
      <c r="R27" s="25"/>
    </row>
    <row r="28" spans="1:18" x14ac:dyDescent="0.25">
      <c r="A28" s="53">
        <f>EDATE(A$41,13)</f>
        <v>43344</v>
      </c>
      <c r="B28" s="54">
        <f t="shared" si="1"/>
        <v>2018</v>
      </c>
      <c r="C28" s="55">
        <f>EVEN((ROUNDDOWN((DATEDIF('Retirment Pay Summary'!$B$2,'Retirement Pay'!A28,"M")/12),0))-1)</f>
        <v>18</v>
      </c>
      <c r="D28" s="55" t="str">
        <f>IF(A28&gt;='Retirment Pay Summary'!$B$10, 'Retirment Pay Summary'!$B$9,(INDEX('2019 Pay Chart'!$A$2:$A$25,(MATCH('Retirment Pay Summary'!$B$9,'2019 Pay Chart'!$A$2:$A$25,)+1))))</f>
        <v>W-2</v>
      </c>
      <c r="E28" s="55" t="str">
        <f t="shared" si="2"/>
        <v>'2018 Pay Chart'!$A$1:$W$25</v>
      </c>
      <c r="F28" s="55" t="str">
        <f t="shared" si="3"/>
        <v>'2018 Pay Chart'!$A$1:$W$1</v>
      </c>
      <c r="G28" s="55">
        <f t="shared" ca="1" si="4"/>
        <v>12</v>
      </c>
      <c r="H28" s="56">
        <f t="shared" ca="1" si="6"/>
        <v>5391.9</v>
      </c>
      <c r="I28" s="52"/>
      <c r="J28" s="52"/>
      <c r="K28" s="52"/>
      <c r="L28" s="52"/>
      <c r="M28" s="52"/>
      <c r="N28" s="52"/>
      <c r="O28" s="52"/>
      <c r="P28" s="52"/>
      <c r="Q28" s="25"/>
      <c r="R28" s="25"/>
    </row>
    <row r="29" spans="1:18" x14ac:dyDescent="0.25">
      <c r="A29" s="53">
        <f>EDATE(A$41,12)</f>
        <v>43313</v>
      </c>
      <c r="B29" s="54">
        <f t="shared" si="1"/>
        <v>2018</v>
      </c>
      <c r="C29" s="55">
        <f>EVEN((ROUNDDOWN((DATEDIF('Retirment Pay Summary'!$B$2,'Retirement Pay'!A29,"M")/12),0))-1)</f>
        <v>18</v>
      </c>
      <c r="D29" s="55" t="str">
        <f>IF(A29&gt;='Retirment Pay Summary'!$B$10, 'Retirment Pay Summary'!$B$9,(INDEX('2019 Pay Chart'!$A$2:$A$25,(MATCH('Retirment Pay Summary'!$B$9,'2019 Pay Chart'!$A$2:$A$25,)+1))))</f>
        <v>W-2</v>
      </c>
      <c r="E29" s="55" t="str">
        <f t="shared" si="2"/>
        <v>'2018 Pay Chart'!$A$1:$W$25</v>
      </c>
      <c r="F29" s="55" t="str">
        <f t="shared" si="3"/>
        <v>'2018 Pay Chart'!$A$1:$W$1</v>
      </c>
      <c r="G29" s="55">
        <f t="shared" ca="1" si="4"/>
        <v>12</v>
      </c>
      <c r="H29" s="56">
        <f t="shared" ca="1" si="6"/>
        <v>5391.9</v>
      </c>
      <c r="I29" s="52"/>
      <c r="J29" s="52"/>
      <c r="K29" s="52"/>
      <c r="L29" s="52"/>
      <c r="M29" s="52"/>
      <c r="N29" s="52"/>
      <c r="O29" s="52"/>
      <c r="P29" s="52"/>
      <c r="Q29" s="25"/>
      <c r="R29" s="25"/>
    </row>
    <row r="30" spans="1:18" x14ac:dyDescent="0.25">
      <c r="A30" s="53">
        <f>EDATE(A$41,11)</f>
        <v>43282</v>
      </c>
      <c r="B30" s="54">
        <f t="shared" si="1"/>
        <v>2018</v>
      </c>
      <c r="C30" s="55">
        <f>EVEN((ROUNDDOWN((DATEDIF('Retirment Pay Summary'!$B$2,'Retirement Pay'!A30,"M")/12),0))-1)</f>
        <v>18</v>
      </c>
      <c r="D30" s="55" t="str">
        <f>IF(A30&gt;='Retirment Pay Summary'!$B$10, 'Retirment Pay Summary'!$B$9,(INDEX('2019 Pay Chart'!$A$2:$A$25,(MATCH('Retirment Pay Summary'!$B$9,'2019 Pay Chart'!$A$2:$A$25,)+1))))</f>
        <v>W-2</v>
      </c>
      <c r="E30" s="55" t="str">
        <f t="shared" si="2"/>
        <v>'2018 Pay Chart'!$A$1:$W$25</v>
      </c>
      <c r="F30" s="55" t="str">
        <f t="shared" si="3"/>
        <v>'2018 Pay Chart'!$A$1:$W$1</v>
      </c>
      <c r="G30" s="55">
        <f t="shared" ca="1" si="4"/>
        <v>12</v>
      </c>
      <c r="H30" s="56">
        <f t="shared" ca="1" si="6"/>
        <v>5391.9</v>
      </c>
      <c r="I30" s="52"/>
      <c r="J30" s="52"/>
      <c r="K30" s="52"/>
      <c r="L30" s="52"/>
      <c r="M30" s="52"/>
      <c r="N30" s="52"/>
      <c r="O30" s="52"/>
      <c r="P30" s="52"/>
      <c r="Q30" s="25"/>
      <c r="R30" s="25"/>
    </row>
    <row r="31" spans="1:18" x14ac:dyDescent="0.25">
      <c r="A31" s="53">
        <f>EDATE(A$41,10)</f>
        <v>43252</v>
      </c>
      <c r="B31" s="54">
        <f t="shared" si="1"/>
        <v>2018</v>
      </c>
      <c r="C31" s="55">
        <f>EVEN((ROUNDDOWN((DATEDIF('Retirment Pay Summary'!$B$2,'Retirement Pay'!A31,"M")/12),0))-1)</f>
        <v>18</v>
      </c>
      <c r="D31" s="55" t="str">
        <f>IF(A31&gt;='Retirment Pay Summary'!$B$10, 'Retirment Pay Summary'!$B$9,(INDEX('2019 Pay Chart'!$A$2:$A$25,(MATCH('Retirment Pay Summary'!$B$9,'2019 Pay Chart'!$A$2:$A$25,)+1))))</f>
        <v>W-2</v>
      </c>
      <c r="E31" s="55" t="str">
        <f t="shared" si="2"/>
        <v>'2018 Pay Chart'!$A$1:$W$25</v>
      </c>
      <c r="F31" s="55" t="str">
        <f t="shared" si="3"/>
        <v>'2018 Pay Chart'!$A$1:$W$1</v>
      </c>
      <c r="G31" s="55">
        <f t="shared" ca="1" si="4"/>
        <v>12</v>
      </c>
      <c r="H31" s="56">
        <f t="shared" ca="1" si="6"/>
        <v>5391.9</v>
      </c>
      <c r="I31" s="52"/>
      <c r="J31" s="52"/>
      <c r="K31" s="52"/>
      <c r="L31" s="52"/>
      <c r="M31" s="52"/>
      <c r="N31" s="52"/>
      <c r="O31" s="52"/>
      <c r="P31" s="52"/>
      <c r="Q31" s="25"/>
      <c r="R31" s="25"/>
    </row>
    <row r="32" spans="1:18" x14ac:dyDescent="0.25">
      <c r="A32" s="53">
        <f>EDATE(A$41,9)</f>
        <v>43221</v>
      </c>
      <c r="B32" s="54">
        <f t="shared" si="1"/>
        <v>2018</v>
      </c>
      <c r="C32" s="55">
        <f>EVEN((ROUNDDOWN((DATEDIF('Retirment Pay Summary'!$B$2,'Retirement Pay'!A32,"M")/12),0))-1)</f>
        <v>18</v>
      </c>
      <c r="D32" s="55" t="str">
        <f>IF(A32&gt;='Retirment Pay Summary'!$B$10, 'Retirment Pay Summary'!$B$9,(INDEX('2019 Pay Chart'!$A$2:$A$25,(MATCH('Retirment Pay Summary'!$B$9,'2019 Pay Chart'!$A$2:$A$25,)+1))))</f>
        <v>W-2</v>
      </c>
      <c r="E32" s="55" t="str">
        <f t="shared" si="2"/>
        <v>'2018 Pay Chart'!$A$1:$W$25</v>
      </c>
      <c r="F32" s="55" t="str">
        <f t="shared" si="3"/>
        <v>'2018 Pay Chart'!$A$1:$W$1</v>
      </c>
      <c r="G32" s="55">
        <f t="shared" ca="1" si="4"/>
        <v>12</v>
      </c>
      <c r="H32" s="56">
        <f t="shared" ca="1" si="6"/>
        <v>5391.9</v>
      </c>
      <c r="I32" s="52"/>
      <c r="J32" s="52"/>
      <c r="K32" s="52"/>
      <c r="L32" s="52"/>
      <c r="M32" s="52"/>
      <c r="N32" s="52"/>
      <c r="O32" s="52"/>
      <c r="P32" s="52"/>
      <c r="Q32" s="25"/>
      <c r="R32" s="25"/>
    </row>
    <row r="33" spans="1:18" x14ac:dyDescent="0.25">
      <c r="A33" s="53">
        <f>EDATE(A$41,8)</f>
        <v>43191</v>
      </c>
      <c r="B33" s="54">
        <f t="shared" si="1"/>
        <v>2018</v>
      </c>
      <c r="C33" s="55">
        <f>EVEN((ROUNDDOWN((DATEDIF('Retirment Pay Summary'!$B$2,'Retirement Pay'!A33,"M")/12),0))-1)</f>
        <v>18</v>
      </c>
      <c r="D33" s="55" t="str">
        <f>IF(A33&gt;='Retirment Pay Summary'!$B$10, 'Retirment Pay Summary'!$B$9,(INDEX('2019 Pay Chart'!$A$2:$A$25,(MATCH('Retirment Pay Summary'!$B$9,'2019 Pay Chart'!$A$2:$A$25,)+1))))</f>
        <v>W-2</v>
      </c>
      <c r="E33" s="55" t="str">
        <f t="shared" si="2"/>
        <v>'2018 Pay Chart'!$A$1:$W$25</v>
      </c>
      <c r="F33" s="55" t="str">
        <f t="shared" si="3"/>
        <v>'2018 Pay Chart'!$A$1:$W$1</v>
      </c>
      <c r="G33" s="55">
        <f t="shared" ca="1" si="4"/>
        <v>12</v>
      </c>
      <c r="H33" s="56">
        <f t="shared" ca="1" si="6"/>
        <v>5391.9</v>
      </c>
      <c r="I33" s="52"/>
      <c r="J33" s="52"/>
      <c r="K33" s="52"/>
      <c r="L33" s="52"/>
      <c r="M33" s="52"/>
      <c r="N33" s="52"/>
      <c r="O33" s="52"/>
      <c r="P33" s="52"/>
      <c r="Q33" s="25"/>
      <c r="R33" s="25"/>
    </row>
    <row r="34" spans="1:18" x14ac:dyDescent="0.25">
      <c r="A34" s="53">
        <f>EDATE(A$41,7)</f>
        <v>43160</v>
      </c>
      <c r="B34" s="54">
        <f t="shared" si="1"/>
        <v>2018</v>
      </c>
      <c r="C34" s="55">
        <f>EVEN((ROUNDDOWN((DATEDIF('Retirment Pay Summary'!$B$2,'Retirement Pay'!A34,"M")/12),0))-1)</f>
        <v>18</v>
      </c>
      <c r="D34" s="55" t="str">
        <f>IF(A34&gt;='Retirment Pay Summary'!$B$10, 'Retirment Pay Summary'!$B$9,(INDEX('2019 Pay Chart'!$A$2:$A$25,(MATCH('Retirment Pay Summary'!$B$9,'2019 Pay Chart'!$A$2:$A$25,)+1))))</f>
        <v>W-2</v>
      </c>
      <c r="E34" s="55" t="str">
        <f t="shared" si="2"/>
        <v>'2018 Pay Chart'!$A$1:$W$25</v>
      </c>
      <c r="F34" s="55" t="str">
        <f t="shared" si="3"/>
        <v>'2018 Pay Chart'!$A$1:$W$1</v>
      </c>
      <c r="G34" s="55">
        <f t="shared" ca="1" si="4"/>
        <v>12</v>
      </c>
      <c r="H34" s="56">
        <f t="shared" ca="1" si="6"/>
        <v>5391.9</v>
      </c>
      <c r="I34" s="52"/>
      <c r="J34" s="52"/>
      <c r="K34" s="52"/>
      <c r="L34" s="52"/>
      <c r="M34" s="52"/>
      <c r="N34" s="52"/>
      <c r="O34" s="52"/>
      <c r="P34" s="52"/>
      <c r="Q34" s="25"/>
      <c r="R34" s="25"/>
    </row>
    <row r="35" spans="1:18" x14ac:dyDescent="0.25">
      <c r="A35" s="53">
        <f>EDATE(A$41,6)</f>
        <v>43132</v>
      </c>
      <c r="B35" s="54">
        <f t="shared" si="1"/>
        <v>2018</v>
      </c>
      <c r="C35" s="55">
        <f>EVEN((ROUNDDOWN((DATEDIF('Retirment Pay Summary'!$B$2,'Retirement Pay'!A35,"M")/12),0))-1)</f>
        <v>18</v>
      </c>
      <c r="D35" s="55" t="str">
        <f>IF(A35&gt;='Retirment Pay Summary'!$B$10, 'Retirment Pay Summary'!$B$9,(INDEX('2019 Pay Chart'!$A$2:$A$25,(MATCH('Retirment Pay Summary'!$B$9,'2019 Pay Chart'!$A$2:$A$25,)+1))))</f>
        <v>W-2</v>
      </c>
      <c r="E35" s="55" t="str">
        <f t="shared" si="2"/>
        <v>'2018 Pay Chart'!$A$1:$W$25</v>
      </c>
      <c r="F35" s="55" t="str">
        <f t="shared" si="3"/>
        <v>'2018 Pay Chart'!$A$1:$W$1</v>
      </c>
      <c r="G35" s="55">
        <f t="shared" ca="1" si="4"/>
        <v>12</v>
      </c>
      <c r="H35" s="56">
        <f t="shared" ca="1" si="6"/>
        <v>5391.9</v>
      </c>
      <c r="I35" s="52"/>
      <c r="J35" s="52"/>
      <c r="K35" s="52"/>
      <c r="L35" s="52"/>
      <c r="M35" s="52"/>
      <c r="N35" s="52"/>
      <c r="O35" s="52"/>
      <c r="P35" s="52"/>
      <c r="Q35" s="25"/>
      <c r="R35" s="25"/>
    </row>
    <row r="36" spans="1:18" x14ac:dyDescent="0.25">
      <c r="A36" s="53">
        <f>EDATE(A$41,5)</f>
        <v>43101</v>
      </c>
      <c r="B36" s="54">
        <f t="shared" si="1"/>
        <v>2018</v>
      </c>
      <c r="C36" s="55">
        <f>EVEN((ROUNDDOWN((DATEDIF('Retirment Pay Summary'!$B$2,'Retirement Pay'!A36,"M")/12),0))-1)</f>
        <v>18</v>
      </c>
      <c r="D36" s="55" t="str">
        <f>IF(A36&gt;='Retirment Pay Summary'!$B$10, 'Retirment Pay Summary'!$B$9,(INDEX('2019 Pay Chart'!$A$2:$A$25,(MATCH('Retirment Pay Summary'!$B$9,'2019 Pay Chart'!$A$2:$A$25,)+1))))</f>
        <v>W-2</v>
      </c>
      <c r="E36" s="55" t="str">
        <f t="shared" si="2"/>
        <v>'2018 Pay Chart'!$A$1:$W$25</v>
      </c>
      <c r="F36" s="55" t="str">
        <f t="shared" si="3"/>
        <v>'2018 Pay Chart'!$A$1:$W$1</v>
      </c>
      <c r="G36" s="55">
        <f t="shared" ca="1" si="4"/>
        <v>12</v>
      </c>
      <c r="H36" s="56">
        <f t="shared" ca="1" si="6"/>
        <v>5391.9</v>
      </c>
      <c r="I36" s="52"/>
      <c r="J36" s="52"/>
      <c r="K36" s="52"/>
      <c r="L36" s="52"/>
      <c r="M36" s="52"/>
      <c r="N36" s="52"/>
      <c r="O36" s="52"/>
      <c r="P36" s="52"/>
      <c r="Q36" s="25"/>
      <c r="R36" s="25"/>
    </row>
    <row r="37" spans="1:18" x14ac:dyDescent="0.25">
      <c r="A37" s="53">
        <f>EDATE(A$41,4)</f>
        <v>43070</v>
      </c>
      <c r="B37" s="54">
        <f t="shared" si="1"/>
        <v>2017</v>
      </c>
      <c r="C37" s="55">
        <f>EVEN((ROUNDDOWN((DATEDIF('Retirment Pay Summary'!$B$2,'Retirement Pay'!A37,"M")/12),0))-1)</f>
        <v>18</v>
      </c>
      <c r="D37" s="55" t="str">
        <f>IF(A37&gt;='Retirment Pay Summary'!$B$10, 'Retirment Pay Summary'!$B$9,(INDEX('2019 Pay Chart'!$A$2:$A$25,(MATCH('Retirment Pay Summary'!$B$9,'2019 Pay Chart'!$A$2:$A$25,)+1))))</f>
        <v>W-2</v>
      </c>
      <c r="E37" s="55" t="str">
        <f t="shared" si="2"/>
        <v>'2017 Pay Chart'!$A$1:$W$25</v>
      </c>
      <c r="F37" s="55" t="str">
        <f t="shared" si="3"/>
        <v>'2017 Pay Chart'!$A$1:$W$1</v>
      </c>
      <c r="G37" s="55">
        <f t="shared" ca="1" si="4"/>
        <v>12</v>
      </c>
      <c r="H37" s="56">
        <f t="shared" ca="1" si="6"/>
        <v>5265.6</v>
      </c>
      <c r="I37" s="52"/>
      <c r="J37" s="52"/>
      <c r="K37" s="52"/>
      <c r="L37" s="52"/>
      <c r="M37" s="52"/>
      <c r="N37" s="52"/>
      <c r="O37" s="52"/>
      <c r="P37" s="52"/>
      <c r="Q37" s="25"/>
      <c r="R37" s="25"/>
    </row>
    <row r="38" spans="1:18" x14ac:dyDescent="0.25">
      <c r="A38" s="53">
        <f>EDATE(A$41,3)</f>
        <v>43040</v>
      </c>
      <c r="B38" s="54">
        <f t="shared" si="1"/>
        <v>2017</v>
      </c>
      <c r="C38" s="55">
        <f>EVEN((ROUNDDOWN((DATEDIF('Retirment Pay Summary'!$B$2,'Retirement Pay'!A38,"M")/12),0))-1)</f>
        <v>18</v>
      </c>
      <c r="D38" s="55" t="str">
        <f>IF(A38&gt;='Retirment Pay Summary'!$B$10, 'Retirment Pay Summary'!$B$9,(INDEX('2019 Pay Chart'!$A$2:$A$25,(MATCH('Retirment Pay Summary'!$B$9,'2019 Pay Chart'!$A$2:$A$25,)+1))))</f>
        <v>W-2</v>
      </c>
      <c r="E38" s="55" t="str">
        <f t="shared" si="2"/>
        <v>'2017 Pay Chart'!$A$1:$W$25</v>
      </c>
      <c r="F38" s="55" t="str">
        <f t="shared" si="3"/>
        <v>'2017 Pay Chart'!$A$1:$W$1</v>
      </c>
      <c r="G38" s="55">
        <f t="shared" ca="1" si="4"/>
        <v>12</v>
      </c>
      <c r="H38" s="56">
        <f t="shared" ca="1" si="6"/>
        <v>5265.6</v>
      </c>
      <c r="I38" s="52"/>
      <c r="J38" s="52"/>
      <c r="K38" s="52"/>
      <c r="L38" s="52"/>
      <c r="M38" s="52"/>
      <c r="N38" s="52"/>
      <c r="O38" s="52"/>
      <c r="P38" s="52"/>
      <c r="Q38" s="25"/>
      <c r="R38" s="25"/>
    </row>
    <row r="39" spans="1:18" x14ac:dyDescent="0.25">
      <c r="A39" s="53">
        <f>EDATE(A$41,2)</f>
        <v>43009</v>
      </c>
      <c r="B39" s="54">
        <f t="shared" si="1"/>
        <v>2017</v>
      </c>
      <c r="C39" s="55">
        <f>EVEN((ROUNDDOWN((DATEDIF('Retirment Pay Summary'!$B$2,'Retirement Pay'!A39,"M")/12),0))-1)</f>
        <v>18</v>
      </c>
      <c r="D39" s="55" t="str">
        <f>IF(A39&gt;='Retirment Pay Summary'!$B$10, 'Retirment Pay Summary'!$B$9,(INDEX('2019 Pay Chart'!$A$2:$A$25,(MATCH('Retirment Pay Summary'!$B$9,'2019 Pay Chart'!$A$2:$A$25,)+1))))</f>
        <v>W-2</v>
      </c>
      <c r="E39" s="55" t="str">
        <f t="shared" si="2"/>
        <v>'2017 Pay Chart'!$A$1:$W$25</v>
      </c>
      <c r="F39" s="55" t="str">
        <f t="shared" si="3"/>
        <v>'2017 Pay Chart'!$A$1:$W$1</v>
      </c>
      <c r="G39" s="55">
        <f t="shared" ca="1" si="4"/>
        <v>12</v>
      </c>
      <c r="H39" s="56">
        <f t="shared" ca="1" si="6"/>
        <v>5265.6</v>
      </c>
      <c r="I39" s="52"/>
      <c r="J39" s="52"/>
      <c r="K39" s="52"/>
      <c r="L39" s="52"/>
      <c r="M39" s="52"/>
      <c r="N39" s="52"/>
      <c r="O39" s="52"/>
      <c r="P39" s="52"/>
      <c r="Q39" s="25"/>
      <c r="R39" s="25"/>
    </row>
    <row r="40" spans="1:18" x14ac:dyDescent="0.25">
      <c r="A40" s="53">
        <f>EDATE(A$41,1)</f>
        <v>42979</v>
      </c>
      <c r="B40" s="54">
        <f t="shared" si="1"/>
        <v>2017</v>
      </c>
      <c r="C40" s="55">
        <f>EVEN((ROUNDDOWN((DATEDIF('Retirment Pay Summary'!$B$2,'Retirement Pay'!A40,"M")/12),0))-1)</f>
        <v>18</v>
      </c>
      <c r="D40" s="55" t="str">
        <f>IF(A40&gt;='Retirment Pay Summary'!$B$10, 'Retirment Pay Summary'!$B$9,(INDEX('2019 Pay Chart'!$A$2:$A$25,(MATCH('Retirment Pay Summary'!$B$9,'2019 Pay Chart'!$A$2:$A$25,)+1))))</f>
        <v>W-2</v>
      </c>
      <c r="E40" s="55" t="str">
        <f t="shared" si="2"/>
        <v>'2017 Pay Chart'!$A$1:$W$25</v>
      </c>
      <c r="F40" s="55" t="str">
        <f t="shared" si="3"/>
        <v>'2017 Pay Chart'!$A$1:$W$1</v>
      </c>
      <c r="G40" s="55">
        <f t="shared" ca="1" si="4"/>
        <v>12</v>
      </c>
      <c r="H40" s="56">
        <f t="shared" ca="1" si="6"/>
        <v>5265.6</v>
      </c>
      <c r="I40" s="52"/>
      <c r="J40" s="52"/>
      <c r="K40" s="52"/>
      <c r="L40" s="52"/>
      <c r="M40" s="52"/>
      <c r="N40" s="52"/>
      <c r="O40" s="52"/>
      <c r="P40" s="52"/>
      <c r="Q40" s="25"/>
      <c r="R40" s="25"/>
    </row>
    <row r="41" spans="1:18" x14ac:dyDescent="0.25">
      <c r="A41" s="53">
        <f>EDATE('Retirment Pay Summary'!B3,-37)</f>
        <v>42948</v>
      </c>
      <c r="B41" s="54">
        <f t="shared" si="1"/>
        <v>2017</v>
      </c>
      <c r="C41" s="55">
        <f>EVEN((ROUNDDOWN((DATEDIF('Retirment Pay Summary'!$B$2,'Retirement Pay'!A41,"M")/12),0))-1)</f>
        <v>18</v>
      </c>
      <c r="D41" s="55" t="str">
        <f>IF(A41&gt;='Retirment Pay Summary'!$B$10, 'Retirment Pay Summary'!$B$9,(INDEX('2019 Pay Chart'!$A$2:$A$25,(MATCH('Retirment Pay Summary'!$B$9,'2019 Pay Chart'!$A$2:$A$25,)+1))))</f>
        <v>W-2</v>
      </c>
      <c r="E41" s="55" t="str">
        <f t="shared" si="2"/>
        <v>'2017 Pay Chart'!$A$1:$W$25</v>
      </c>
      <c r="F41" s="55" t="str">
        <f t="shared" si="3"/>
        <v>'2017 Pay Chart'!$A$1:$W$1</v>
      </c>
      <c r="G41" s="55">
        <f t="shared" ca="1" si="4"/>
        <v>12</v>
      </c>
      <c r="H41" s="56">
        <f t="shared" ca="1" si="6"/>
        <v>5265.6</v>
      </c>
      <c r="I41" s="52"/>
      <c r="J41" s="52"/>
      <c r="K41" s="52"/>
      <c r="L41" s="52"/>
      <c r="M41" s="52"/>
      <c r="N41" s="52"/>
      <c r="O41" s="52"/>
      <c r="P41" s="52"/>
      <c r="Q41" s="25"/>
      <c r="R41" s="25"/>
    </row>
    <row r="42" spans="1:18" x14ac:dyDescent="0.25">
      <c r="A42" s="1"/>
      <c r="B42" s="1"/>
      <c r="C42" s="1"/>
      <c r="D42" s="1"/>
      <c r="E42" s="1"/>
      <c r="F42" s="1"/>
      <c r="G42" s="1"/>
      <c r="H42" s="3"/>
    </row>
    <row r="43" spans="1:18" x14ac:dyDescent="0.25">
      <c r="A43" s="1"/>
      <c r="B43" s="1"/>
      <c r="C43" s="1"/>
      <c r="D43" s="1"/>
      <c r="E43" s="1"/>
      <c r="F43" s="1"/>
      <c r="G43" s="1"/>
      <c r="H43" s="3"/>
    </row>
  </sheetData>
  <sortState xmlns:xlrd2="http://schemas.microsoft.com/office/spreadsheetml/2017/richdata2" ref="A5:R41">
    <sortCondition descending="1" ref="A5:A41"/>
  </sortState>
  <mergeCells count="1">
    <mergeCell ref="A1:P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3C2C3-7577-4F1E-88EF-3D136E7FF800}">
  <sheetPr codeName="Sheet4"/>
  <dimension ref="A1:P7"/>
  <sheetViews>
    <sheetView workbookViewId="0">
      <selection activeCell="L25" sqref="L25"/>
    </sheetView>
  </sheetViews>
  <sheetFormatPr defaultRowHeight="15" x14ac:dyDescent="0.25"/>
  <cols>
    <col min="1" max="1" width="18.28515625" bestFit="1" customWidth="1"/>
    <col min="2" max="2" width="18.28515625" customWidth="1"/>
    <col min="3" max="6" width="9.28515625" bestFit="1" customWidth="1"/>
    <col min="7" max="12" width="10.5703125" bestFit="1" customWidth="1"/>
  </cols>
  <sheetData>
    <row r="1" spans="1:16" x14ac:dyDescent="0.25">
      <c r="A1" s="61" t="s">
        <v>131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59"/>
      <c r="N1" s="59"/>
      <c r="O1" s="59"/>
      <c r="P1" s="59"/>
    </row>
    <row r="2" spans="1:16" x14ac:dyDescent="0.25">
      <c r="A2" s="52" t="s">
        <v>8</v>
      </c>
      <c r="B2" s="54">
        <v>0</v>
      </c>
      <c r="C2" s="54">
        <v>10</v>
      </c>
      <c r="D2" s="54">
        <v>20</v>
      </c>
      <c r="E2" s="54">
        <v>30</v>
      </c>
      <c r="F2" s="54">
        <v>40</v>
      </c>
      <c r="G2" s="54">
        <v>50</v>
      </c>
      <c r="H2" s="54">
        <v>60</v>
      </c>
      <c r="I2" s="54">
        <v>70</v>
      </c>
      <c r="J2" s="54">
        <v>80</v>
      </c>
      <c r="K2" s="54">
        <v>90</v>
      </c>
      <c r="L2" s="54">
        <v>100</v>
      </c>
    </row>
    <row r="3" spans="1:16" x14ac:dyDescent="0.25">
      <c r="A3" s="52" t="s">
        <v>4</v>
      </c>
      <c r="B3" s="52">
        <v>0</v>
      </c>
      <c r="C3" s="52">
        <v>140.05000000000001</v>
      </c>
      <c r="D3" s="52">
        <v>276.83999999999997</v>
      </c>
      <c r="E3" s="52">
        <v>428.83</v>
      </c>
      <c r="F3" s="52">
        <v>617.73</v>
      </c>
      <c r="G3" s="52">
        <v>879.36</v>
      </c>
      <c r="H3" s="52">
        <v>1113.8599999999999</v>
      </c>
      <c r="I3" s="52">
        <v>1403.71</v>
      </c>
      <c r="J3" s="52">
        <v>1631.69</v>
      </c>
      <c r="K3" s="52">
        <v>1833.62</v>
      </c>
      <c r="L3" s="52">
        <v>3057.13</v>
      </c>
    </row>
    <row r="4" spans="1:16" x14ac:dyDescent="0.25">
      <c r="A4" s="52" t="s">
        <v>5</v>
      </c>
      <c r="B4" s="52">
        <v>0</v>
      </c>
      <c r="C4" s="52">
        <v>140.05000000000001</v>
      </c>
      <c r="D4" s="52">
        <v>276.83999999999997</v>
      </c>
      <c r="E4" s="52">
        <v>479.83</v>
      </c>
      <c r="F4" s="52">
        <v>685.73</v>
      </c>
      <c r="G4" s="52">
        <v>964.36</v>
      </c>
      <c r="H4" s="52">
        <v>1215.8599999999999</v>
      </c>
      <c r="I4" s="52">
        <v>1522.71</v>
      </c>
      <c r="J4" s="52">
        <v>1767.69</v>
      </c>
      <c r="K4" s="52">
        <v>1986.62</v>
      </c>
      <c r="L4" s="52">
        <v>3227.58</v>
      </c>
    </row>
    <row r="5" spans="1:16" x14ac:dyDescent="0.25">
      <c r="A5" s="52" t="s">
        <v>104</v>
      </c>
      <c r="B5" s="52">
        <v>0</v>
      </c>
      <c r="C5" s="52">
        <v>140.05000000000001</v>
      </c>
      <c r="D5" s="52">
        <v>276.83999999999997</v>
      </c>
      <c r="E5" s="52">
        <v>516.83000000000004</v>
      </c>
      <c r="F5" s="52">
        <v>735.73</v>
      </c>
      <c r="G5" s="52">
        <v>1026.3599999999999</v>
      </c>
      <c r="H5" s="52">
        <v>1290.8599999999999</v>
      </c>
      <c r="I5" s="52">
        <v>1609.71</v>
      </c>
      <c r="J5" s="52">
        <v>1867.69</v>
      </c>
      <c r="K5" s="52">
        <v>2098.62</v>
      </c>
      <c r="L5" s="52">
        <v>3352.41</v>
      </c>
    </row>
    <row r="6" spans="1:16" x14ac:dyDescent="0.25">
      <c r="A6" s="52" t="s">
        <v>6</v>
      </c>
      <c r="B6" s="52">
        <v>0</v>
      </c>
      <c r="C6" s="52">
        <v>140.05000000000001</v>
      </c>
      <c r="D6" s="52">
        <v>276.83999999999997</v>
      </c>
      <c r="E6" s="52">
        <v>462.83</v>
      </c>
      <c r="F6" s="52">
        <v>662.73</v>
      </c>
      <c r="G6" s="52">
        <v>935.36</v>
      </c>
      <c r="H6" s="52">
        <v>1181.8599999999999</v>
      </c>
      <c r="I6" s="52">
        <v>1482.71</v>
      </c>
      <c r="J6" s="52">
        <v>1722.69</v>
      </c>
      <c r="K6" s="52">
        <v>1935.62</v>
      </c>
      <c r="L6" s="52">
        <v>3171.12</v>
      </c>
    </row>
    <row r="7" spans="1:16" x14ac:dyDescent="0.25">
      <c r="A7" s="52" t="s">
        <v>7</v>
      </c>
      <c r="B7" s="52">
        <v>0</v>
      </c>
      <c r="C7" s="52">
        <v>140.05000000000001</v>
      </c>
      <c r="D7" s="52">
        <v>276.83999999999997</v>
      </c>
      <c r="E7" s="52">
        <v>25</v>
      </c>
      <c r="F7" s="52">
        <v>33</v>
      </c>
      <c r="G7" s="52">
        <v>42</v>
      </c>
      <c r="H7" s="52">
        <v>50</v>
      </c>
      <c r="I7" s="52">
        <v>59</v>
      </c>
      <c r="J7" s="52">
        <v>67</v>
      </c>
      <c r="K7" s="52">
        <v>76</v>
      </c>
      <c r="L7" s="52">
        <v>84.69</v>
      </c>
    </row>
  </sheetData>
  <mergeCells count="1"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60A72-BA46-45CF-AF03-5F2EF5121B03}">
  <dimension ref="A1:W25"/>
  <sheetViews>
    <sheetView workbookViewId="0">
      <selection activeCell="J15" sqref="J15"/>
    </sheetView>
  </sheetViews>
  <sheetFormatPr defaultRowHeight="15" x14ac:dyDescent="0.25"/>
  <cols>
    <col min="1" max="1" width="18.28515625" style="15" bestFit="1" customWidth="1"/>
    <col min="2" max="16384" width="9.140625" style="15"/>
  </cols>
  <sheetData>
    <row r="1" spans="1:23" ht="15.75" thickBot="1" x14ac:dyDescent="0.3">
      <c r="A1" s="16"/>
      <c r="B1" s="16">
        <v>0</v>
      </c>
      <c r="C1" s="16">
        <v>2</v>
      </c>
      <c r="D1" s="16">
        <v>3</v>
      </c>
      <c r="E1" s="16">
        <v>4</v>
      </c>
      <c r="F1" s="16">
        <v>6</v>
      </c>
      <c r="G1" s="16">
        <v>8</v>
      </c>
      <c r="H1" s="16">
        <v>10</v>
      </c>
      <c r="I1" s="16">
        <v>12</v>
      </c>
      <c r="J1" s="16">
        <v>14</v>
      </c>
      <c r="K1" s="16">
        <v>16</v>
      </c>
      <c r="L1" s="16">
        <v>18</v>
      </c>
      <c r="M1" s="16">
        <v>20</v>
      </c>
      <c r="N1" s="16">
        <v>22</v>
      </c>
      <c r="O1" s="16">
        <v>24</v>
      </c>
      <c r="P1" s="16">
        <v>26</v>
      </c>
      <c r="Q1" s="16">
        <v>28</v>
      </c>
      <c r="R1" s="16">
        <v>30</v>
      </c>
      <c r="S1" s="16">
        <v>32</v>
      </c>
      <c r="T1" s="16">
        <v>34</v>
      </c>
      <c r="U1" s="16">
        <v>36</v>
      </c>
      <c r="V1" s="16">
        <v>38</v>
      </c>
      <c r="W1" s="16">
        <v>40</v>
      </c>
    </row>
    <row r="2" spans="1:23" ht="15.75" thickBot="1" x14ac:dyDescent="0.3">
      <c r="A2" s="16" t="s">
        <v>49</v>
      </c>
      <c r="B2" s="28">
        <v>16441.8</v>
      </c>
      <c r="C2" s="28">
        <v>16441.8</v>
      </c>
      <c r="D2" s="28">
        <v>16441.8</v>
      </c>
      <c r="E2" s="28">
        <v>16441.8</v>
      </c>
      <c r="F2" s="28">
        <v>16441.8</v>
      </c>
      <c r="G2" s="28">
        <v>16441.8</v>
      </c>
      <c r="H2" s="28">
        <v>16441.8</v>
      </c>
      <c r="I2" s="28">
        <v>16441.8</v>
      </c>
      <c r="J2" s="28">
        <v>16441.8</v>
      </c>
      <c r="K2" s="28">
        <v>16441.8</v>
      </c>
      <c r="L2" s="28">
        <v>16441.8</v>
      </c>
      <c r="M2" s="28">
        <v>16441.8</v>
      </c>
      <c r="N2" s="28">
        <v>16441.8</v>
      </c>
      <c r="O2" s="28">
        <v>16441.8</v>
      </c>
      <c r="P2" s="28">
        <v>16441.8</v>
      </c>
      <c r="Q2" s="28">
        <v>16441.8</v>
      </c>
      <c r="R2" s="28">
        <v>16441.8</v>
      </c>
      <c r="S2" s="28">
        <v>16441.8</v>
      </c>
      <c r="T2" s="28">
        <v>16441.8</v>
      </c>
      <c r="U2" s="28">
        <v>16441.8</v>
      </c>
      <c r="V2" s="28">
        <v>16441.8</v>
      </c>
      <c r="W2" s="28">
        <v>16441.8</v>
      </c>
    </row>
    <row r="3" spans="1:23" ht="15.75" thickBot="1" x14ac:dyDescent="0.3">
      <c r="A3" s="16" t="s">
        <v>50</v>
      </c>
      <c r="B3" s="28">
        <v>15546</v>
      </c>
      <c r="C3" s="28">
        <v>15546</v>
      </c>
      <c r="D3" s="28">
        <v>15546</v>
      </c>
      <c r="E3" s="28">
        <v>15546</v>
      </c>
      <c r="F3" s="28">
        <v>15546</v>
      </c>
      <c r="G3" s="28">
        <v>15546</v>
      </c>
      <c r="H3" s="28">
        <v>15546</v>
      </c>
      <c r="I3" s="28">
        <v>15546</v>
      </c>
      <c r="J3" s="28">
        <v>15546</v>
      </c>
      <c r="K3" s="28">
        <v>15546</v>
      </c>
      <c r="L3" s="28">
        <v>15546</v>
      </c>
      <c r="M3" s="28">
        <v>15546</v>
      </c>
      <c r="N3" s="28">
        <v>15770.7</v>
      </c>
      <c r="O3" s="28">
        <v>16094.1</v>
      </c>
      <c r="P3" s="28">
        <v>16441.8</v>
      </c>
      <c r="Q3" s="28">
        <v>16441.8</v>
      </c>
      <c r="R3" s="28">
        <v>16441.8</v>
      </c>
      <c r="S3" s="28">
        <v>16441.8</v>
      </c>
      <c r="T3" s="28">
        <v>16441.8</v>
      </c>
      <c r="U3" s="28">
        <v>16441.8</v>
      </c>
      <c r="V3" s="28">
        <v>16441.8</v>
      </c>
      <c r="W3" s="28">
        <v>16441.8</v>
      </c>
    </row>
    <row r="4" spans="1:23" ht="15.75" thickBot="1" x14ac:dyDescent="0.3">
      <c r="A4" s="16" t="s">
        <v>51</v>
      </c>
      <c r="B4" s="26">
        <v>10999.5</v>
      </c>
      <c r="C4" s="26">
        <v>11360.4</v>
      </c>
      <c r="D4" s="26">
        <v>11599.5</v>
      </c>
      <c r="E4" s="26">
        <v>11666.1</v>
      </c>
      <c r="F4" s="26">
        <v>11964.6</v>
      </c>
      <c r="G4" s="26">
        <v>12462.9</v>
      </c>
      <c r="H4" s="28">
        <v>12579</v>
      </c>
      <c r="I4" s="28">
        <v>13052.1</v>
      </c>
      <c r="J4" s="28">
        <v>13188.3</v>
      </c>
      <c r="K4" s="28">
        <v>13596</v>
      </c>
      <c r="L4" s="28">
        <v>14186.1</v>
      </c>
      <c r="M4" s="28">
        <v>14730</v>
      </c>
      <c r="N4" s="28">
        <v>15093.3</v>
      </c>
      <c r="O4" s="28">
        <v>15093.3</v>
      </c>
      <c r="P4" s="28">
        <v>15093.3</v>
      </c>
      <c r="Q4" s="28">
        <v>15093.3</v>
      </c>
      <c r="R4" s="28">
        <v>15471.3</v>
      </c>
      <c r="S4" s="28">
        <v>15471.3</v>
      </c>
      <c r="T4" s="28">
        <v>15857.4</v>
      </c>
      <c r="U4" s="28">
        <v>15857.4</v>
      </c>
      <c r="V4" s="28">
        <v>15857.4</v>
      </c>
      <c r="W4" s="28">
        <v>15857.4</v>
      </c>
    </row>
    <row r="5" spans="1:23" ht="15.75" thickBot="1" x14ac:dyDescent="0.3">
      <c r="A5" s="16" t="s">
        <v>52</v>
      </c>
      <c r="B5" s="26">
        <v>9140.1</v>
      </c>
      <c r="C5" s="26">
        <v>9564.6</v>
      </c>
      <c r="D5" s="26">
        <v>9761.1</v>
      </c>
      <c r="E5" s="26">
        <v>9917.4</v>
      </c>
      <c r="F5" s="26">
        <v>10200</v>
      </c>
      <c r="G5" s="26">
        <v>10479.6</v>
      </c>
      <c r="H5" s="28">
        <v>10802.7</v>
      </c>
      <c r="I5" s="28">
        <v>11124.6</v>
      </c>
      <c r="J5" s="28">
        <v>11447.7</v>
      </c>
      <c r="K5" s="28">
        <v>12462.9</v>
      </c>
      <c r="L5" s="28">
        <v>13319.7</v>
      </c>
      <c r="M5" s="28">
        <v>13319.7</v>
      </c>
      <c r="N5" s="28">
        <v>13319.7</v>
      </c>
      <c r="O5" s="28">
        <v>13319.7</v>
      </c>
      <c r="P5" s="28">
        <v>13388.1</v>
      </c>
      <c r="Q5" s="28">
        <v>13388.1</v>
      </c>
      <c r="R5" s="28">
        <v>13656</v>
      </c>
      <c r="S5" s="28">
        <v>13656</v>
      </c>
      <c r="T5" s="28">
        <v>13656</v>
      </c>
      <c r="U5" s="28">
        <v>13656</v>
      </c>
      <c r="V5" s="28">
        <v>13656</v>
      </c>
      <c r="W5" s="28">
        <v>13656</v>
      </c>
    </row>
    <row r="6" spans="1:23" ht="15.75" thickBot="1" x14ac:dyDescent="0.3">
      <c r="A6" s="16" t="s">
        <v>53</v>
      </c>
      <c r="B6" s="26">
        <v>6931.2</v>
      </c>
      <c r="C6" s="26">
        <v>7614.6</v>
      </c>
      <c r="D6" s="26">
        <v>8114.4</v>
      </c>
      <c r="E6" s="26">
        <v>8114.4</v>
      </c>
      <c r="F6" s="26">
        <v>8145.3</v>
      </c>
      <c r="G6" s="26">
        <v>8494.5</v>
      </c>
      <c r="H6" s="28">
        <v>8540.7000000000007</v>
      </c>
      <c r="I6" s="28">
        <v>8540.7000000000007</v>
      </c>
      <c r="J6" s="28">
        <v>9025.7999999999993</v>
      </c>
      <c r="K6" s="28">
        <v>9884.1</v>
      </c>
      <c r="L6" s="28">
        <v>10387.5</v>
      </c>
      <c r="M6" s="28">
        <v>10890.9</v>
      </c>
      <c r="N6" s="28">
        <v>11177.4</v>
      </c>
      <c r="O6" s="28">
        <v>11467.8</v>
      </c>
      <c r="P6" s="28">
        <v>12030</v>
      </c>
      <c r="Q6" s="28">
        <v>12030</v>
      </c>
      <c r="R6" s="28">
        <v>12270.3</v>
      </c>
      <c r="S6" s="28">
        <v>12270.3</v>
      </c>
      <c r="T6" s="28">
        <v>12270.3</v>
      </c>
      <c r="U6" s="28">
        <v>12270.3</v>
      </c>
      <c r="V6" s="28">
        <v>12270.3</v>
      </c>
      <c r="W6" s="28">
        <v>12270.3</v>
      </c>
    </row>
    <row r="7" spans="1:23" ht="15.75" thickBot="1" x14ac:dyDescent="0.3">
      <c r="A7" s="16" t="s">
        <v>34</v>
      </c>
      <c r="B7" s="26">
        <v>5778</v>
      </c>
      <c r="C7" s="26">
        <v>6509.1</v>
      </c>
      <c r="D7" s="26">
        <v>6959.4</v>
      </c>
      <c r="E7" s="26">
        <v>7044.3</v>
      </c>
      <c r="F7" s="26">
        <v>7325.7</v>
      </c>
      <c r="G7" s="26">
        <v>7493.7</v>
      </c>
      <c r="H7" s="28">
        <v>7863.6</v>
      </c>
      <c r="I7" s="28">
        <v>8135.4</v>
      </c>
      <c r="J7" s="28">
        <v>8486.1</v>
      </c>
      <c r="K7" s="28">
        <v>9022.5</v>
      </c>
      <c r="L7" s="28">
        <v>9277.5</v>
      </c>
      <c r="M7" s="28">
        <v>9530.1</v>
      </c>
      <c r="N7" s="28">
        <v>9816.6</v>
      </c>
      <c r="O7" s="28">
        <v>9816.6</v>
      </c>
      <c r="P7" s="28">
        <v>9816.6</v>
      </c>
      <c r="Q7" s="28">
        <v>9816.6</v>
      </c>
      <c r="R7" s="28">
        <v>9816.6</v>
      </c>
      <c r="S7" s="28">
        <v>9816.6</v>
      </c>
      <c r="T7" s="28">
        <v>9816.6</v>
      </c>
      <c r="U7" s="28">
        <v>9816.6</v>
      </c>
      <c r="V7" s="28">
        <v>9816.6</v>
      </c>
      <c r="W7" s="28">
        <v>9816.6</v>
      </c>
    </row>
    <row r="8" spans="1:23" ht="15.75" thickBot="1" x14ac:dyDescent="0.3">
      <c r="A8" s="16" t="s">
        <v>35</v>
      </c>
      <c r="B8" s="26">
        <v>4985.3999999999996</v>
      </c>
      <c r="C8" s="26">
        <v>5770.8</v>
      </c>
      <c r="D8" s="26">
        <v>6156.3</v>
      </c>
      <c r="E8" s="26">
        <v>6241.8</v>
      </c>
      <c r="F8" s="26">
        <v>6599.1</v>
      </c>
      <c r="G8" s="26">
        <v>6982.8</v>
      </c>
      <c r="H8" s="28">
        <v>7460.4</v>
      </c>
      <c r="I8" s="28">
        <v>7831.8</v>
      </c>
      <c r="J8" s="28">
        <v>8089.8</v>
      </c>
      <c r="K8" s="28">
        <v>8238.2999999999993</v>
      </c>
      <c r="L8" s="28">
        <v>8324.1</v>
      </c>
      <c r="M8" s="28">
        <v>8324.1</v>
      </c>
      <c r="N8" s="28">
        <v>8324.1</v>
      </c>
      <c r="O8" s="28">
        <v>8324.1</v>
      </c>
      <c r="P8" s="28">
        <v>8324.1</v>
      </c>
      <c r="Q8" s="28">
        <v>8324.1</v>
      </c>
      <c r="R8" s="28">
        <v>8324.1</v>
      </c>
      <c r="S8" s="28">
        <v>8324.1</v>
      </c>
      <c r="T8" s="28">
        <v>8324.1</v>
      </c>
      <c r="U8" s="28">
        <v>8324.1</v>
      </c>
      <c r="V8" s="28">
        <v>8324.1</v>
      </c>
      <c r="W8" s="28">
        <v>8324.1</v>
      </c>
    </row>
    <row r="9" spans="1:23" ht="15.75" thickBot="1" x14ac:dyDescent="0.3">
      <c r="A9" s="16" t="s">
        <v>54</v>
      </c>
      <c r="B9" s="26">
        <v>4383.3</v>
      </c>
      <c r="C9" s="26">
        <v>4968.6000000000004</v>
      </c>
      <c r="D9" s="26">
        <v>5362.5</v>
      </c>
      <c r="E9" s="26">
        <v>5847.3</v>
      </c>
      <c r="F9" s="26">
        <v>6127.8</v>
      </c>
      <c r="G9" s="26">
        <v>6435</v>
      </c>
      <c r="H9" s="28">
        <v>6633.9</v>
      </c>
      <c r="I9" s="28">
        <v>6960.6</v>
      </c>
      <c r="J9" s="28">
        <v>7131.3</v>
      </c>
      <c r="K9" s="28">
        <v>7131.3</v>
      </c>
      <c r="L9" s="28">
        <v>7131.3</v>
      </c>
      <c r="M9" s="28">
        <v>7131.3</v>
      </c>
      <c r="N9" s="28">
        <v>7131.3</v>
      </c>
      <c r="O9" s="28">
        <v>7131.3</v>
      </c>
      <c r="P9" s="28">
        <v>7131.3</v>
      </c>
      <c r="Q9" s="28">
        <v>7131.3</v>
      </c>
      <c r="R9" s="28">
        <v>7131.3</v>
      </c>
      <c r="S9" s="28">
        <v>7131.3</v>
      </c>
      <c r="T9" s="28">
        <v>7131.3</v>
      </c>
      <c r="U9" s="28">
        <v>7131.3</v>
      </c>
      <c r="V9" s="28">
        <v>7131.3</v>
      </c>
      <c r="W9" s="28">
        <v>7131.3</v>
      </c>
    </row>
    <row r="10" spans="1:23" ht="15.75" thickBot="1" x14ac:dyDescent="0.3">
      <c r="A10" s="16" t="s">
        <v>55</v>
      </c>
      <c r="B10" s="26">
        <v>3787.5</v>
      </c>
      <c r="C10" s="26">
        <v>4313.3999999999996</v>
      </c>
      <c r="D10" s="26">
        <v>4967.7</v>
      </c>
      <c r="E10" s="26">
        <v>5135.7</v>
      </c>
      <c r="F10" s="26">
        <v>5241.3</v>
      </c>
      <c r="G10" s="26">
        <v>5241.3</v>
      </c>
      <c r="H10" s="28">
        <v>5241.3</v>
      </c>
      <c r="I10" s="28">
        <v>5241.3</v>
      </c>
      <c r="J10" s="28">
        <v>5241.3</v>
      </c>
      <c r="K10" s="28">
        <v>5241.3</v>
      </c>
      <c r="L10" s="28">
        <v>5241.3</v>
      </c>
      <c r="M10" s="28">
        <v>5241.3</v>
      </c>
      <c r="N10" s="28">
        <v>5241.3</v>
      </c>
      <c r="O10" s="28">
        <v>5241.3</v>
      </c>
      <c r="P10" s="28">
        <v>5241.3</v>
      </c>
      <c r="Q10" s="28">
        <v>5241.3</v>
      </c>
      <c r="R10" s="28">
        <v>5241.3</v>
      </c>
      <c r="S10" s="28">
        <v>5241.3</v>
      </c>
      <c r="T10" s="28">
        <v>5241.3</v>
      </c>
      <c r="U10" s="28">
        <v>5241.3</v>
      </c>
      <c r="V10" s="28">
        <v>5241.3</v>
      </c>
      <c r="W10" s="28">
        <v>5241.3</v>
      </c>
    </row>
    <row r="11" spans="1:23" ht="15.75" thickBot="1" x14ac:dyDescent="0.3">
      <c r="A11" s="16" t="s">
        <v>56</v>
      </c>
      <c r="B11" s="26">
        <v>3287.1</v>
      </c>
      <c r="C11" s="26">
        <v>3421.8</v>
      </c>
      <c r="D11" s="26">
        <v>4136.3999999999996</v>
      </c>
      <c r="E11" s="26">
        <v>4136.3999999999996</v>
      </c>
      <c r="F11" s="26">
        <v>4136.3999999999996</v>
      </c>
      <c r="G11" s="26">
        <v>4136.3999999999996</v>
      </c>
      <c r="H11" s="28">
        <v>4136.3999999999996</v>
      </c>
      <c r="I11" s="28">
        <v>4136.3999999999996</v>
      </c>
      <c r="J11" s="28">
        <v>4136.3999999999996</v>
      </c>
      <c r="K11" s="28">
        <v>4136.3999999999996</v>
      </c>
      <c r="L11" s="28">
        <v>4136.3999999999996</v>
      </c>
      <c r="M11" s="28">
        <v>4136.3999999999996</v>
      </c>
      <c r="N11" s="28">
        <v>4136.3999999999996</v>
      </c>
      <c r="O11" s="28">
        <v>4136.3999999999996</v>
      </c>
      <c r="P11" s="28">
        <v>4136.3999999999996</v>
      </c>
      <c r="Q11" s="28">
        <v>4136.3999999999996</v>
      </c>
      <c r="R11" s="28">
        <v>4136.3999999999996</v>
      </c>
      <c r="S11" s="28">
        <v>4136.3999999999996</v>
      </c>
      <c r="T11" s="28">
        <v>4136.3999999999996</v>
      </c>
      <c r="U11" s="28">
        <v>4136.3999999999996</v>
      </c>
      <c r="V11" s="28">
        <v>4136.3999999999996</v>
      </c>
      <c r="W11" s="28">
        <v>4136.3999999999996</v>
      </c>
    </row>
    <row r="12" spans="1:23" ht="15.75" thickBot="1" x14ac:dyDescent="0.3">
      <c r="A12" s="18" t="s">
        <v>36</v>
      </c>
      <c r="B12" s="28">
        <v>8054.7</v>
      </c>
      <c r="C12" s="28">
        <v>8054.7</v>
      </c>
      <c r="D12" s="28">
        <v>8054.7</v>
      </c>
      <c r="E12" s="28">
        <v>8054.7</v>
      </c>
      <c r="F12" s="28">
        <v>8054.7</v>
      </c>
      <c r="G12" s="28">
        <v>8054.7</v>
      </c>
      <c r="H12" s="28">
        <v>8054.7</v>
      </c>
      <c r="I12" s="28">
        <v>8054.7</v>
      </c>
      <c r="J12" s="28">
        <v>8054.7</v>
      </c>
      <c r="K12" s="28">
        <v>8054.7</v>
      </c>
      <c r="L12" s="28">
        <v>8054.7</v>
      </c>
      <c r="M12" s="28">
        <v>8054.7</v>
      </c>
      <c r="N12" s="28">
        <v>8463</v>
      </c>
      <c r="O12" s="28">
        <v>8767.5</v>
      </c>
      <c r="P12" s="28">
        <v>9104.1</v>
      </c>
      <c r="Q12" s="28">
        <v>9104.1</v>
      </c>
      <c r="R12" s="28">
        <v>9560.1</v>
      </c>
      <c r="S12" s="28">
        <v>9560.1</v>
      </c>
      <c r="T12" s="28">
        <v>10037.4</v>
      </c>
      <c r="U12" s="28">
        <v>10037.4</v>
      </c>
      <c r="V12" s="28">
        <v>10540.2</v>
      </c>
      <c r="W12" s="28">
        <v>10540.2</v>
      </c>
    </row>
    <row r="13" spans="1:23" ht="15.75" thickBot="1" x14ac:dyDescent="0.3">
      <c r="A13" s="18" t="s">
        <v>37</v>
      </c>
      <c r="B13" s="27" t="s">
        <v>80</v>
      </c>
      <c r="C13" s="28">
        <v>4872.6000000000004</v>
      </c>
      <c r="D13" s="28">
        <v>5012.3999999999996</v>
      </c>
      <c r="E13" s="28">
        <v>5150.1000000000004</v>
      </c>
      <c r="F13" s="28">
        <v>5387.1</v>
      </c>
      <c r="G13" s="28">
        <v>5621.7</v>
      </c>
      <c r="H13" s="28">
        <v>5859.3</v>
      </c>
      <c r="I13" s="28">
        <v>6216</v>
      </c>
      <c r="J13" s="28">
        <v>6529.2</v>
      </c>
      <c r="K13" s="28">
        <v>6827.1</v>
      </c>
      <c r="L13" s="28">
        <v>7071.3</v>
      </c>
      <c r="M13" s="28">
        <v>7309.2</v>
      </c>
      <c r="N13" s="28">
        <v>7658.4</v>
      </c>
      <c r="O13" s="28">
        <v>7945.2</v>
      </c>
      <c r="P13" s="28">
        <v>8272.7999999999993</v>
      </c>
      <c r="Q13" s="28">
        <v>8272.7999999999993</v>
      </c>
      <c r="R13" s="28">
        <v>8437.7999999999993</v>
      </c>
      <c r="S13" s="28">
        <v>8437.7999999999993</v>
      </c>
      <c r="T13" s="28">
        <v>8437.7999999999993</v>
      </c>
      <c r="U13" s="28">
        <v>8437.7999999999993</v>
      </c>
      <c r="V13" s="28">
        <v>8437.7999999999993</v>
      </c>
      <c r="W13" s="28">
        <v>8437.7999999999993</v>
      </c>
    </row>
    <row r="14" spans="1:23" ht="15.75" thickBot="1" x14ac:dyDescent="0.3">
      <c r="A14" s="18" t="s">
        <v>38</v>
      </c>
      <c r="B14" s="27" t="s">
        <v>81</v>
      </c>
      <c r="C14" s="27" t="s">
        <v>82</v>
      </c>
      <c r="D14" s="27" t="s">
        <v>83</v>
      </c>
      <c r="E14" s="27" t="s">
        <v>84</v>
      </c>
      <c r="F14" s="27" t="s">
        <v>85</v>
      </c>
      <c r="G14" s="27" t="s">
        <v>86</v>
      </c>
      <c r="H14" s="28">
        <v>5473.2</v>
      </c>
      <c r="I14" s="28">
        <v>5652</v>
      </c>
      <c r="J14" s="28">
        <v>5859</v>
      </c>
      <c r="K14" s="28">
        <v>6071.7</v>
      </c>
      <c r="L14" s="28">
        <v>6455.1</v>
      </c>
      <c r="M14" s="28">
        <v>6713.7</v>
      </c>
      <c r="N14" s="28">
        <v>6868.2</v>
      </c>
      <c r="O14" s="28">
        <v>7032.6</v>
      </c>
      <c r="P14" s="28">
        <v>7256.7</v>
      </c>
      <c r="Q14" s="28">
        <v>7256.7</v>
      </c>
      <c r="R14" s="28">
        <v>7256.7</v>
      </c>
      <c r="S14" s="28">
        <v>7256.7</v>
      </c>
      <c r="T14" s="28">
        <v>7256.7</v>
      </c>
      <c r="U14" s="28">
        <v>7256.7</v>
      </c>
      <c r="V14" s="28">
        <v>7256.7</v>
      </c>
      <c r="W14" s="28">
        <v>7256.7</v>
      </c>
    </row>
    <row r="15" spans="1:23" ht="15.75" thickBot="1" x14ac:dyDescent="0.3">
      <c r="A15" s="18" t="s">
        <v>39</v>
      </c>
      <c r="B15" s="27" t="s">
        <v>87</v>
      </c>
      <c r="C15" s="27" t="s">
        <v>88</v>
      </c>
      <c r="D15" s="27" t="s">
        <v>89</v>
      </c>
      <c r="E15" s="27" t="s">
        <v>90</v>
      </c>
      <c r="F15" s="27" t="s">
        <v>91</v>
      </c>
      <c r="G15" s="27" t="s">
        <v>92</v>
      </c>
      <c r="H15" s="28">
        <v>4975.8</v>
      </c>
      <c r="I15" s="28">
        <v>5155.5</v>
      </c>
      <c r="J15" s="28">
        <v>5375.7</v>
      </c>
      <c r="K15" s="28">
        <v>5547.9</v>
      </c>
      <c r="L15" s="28">
        <v>5703.6</v>
      </c>
      <c r="M15" s="28">
        <v>5890.2</v>
      </c>
      <c r="N15" s="28">
        <v>6012.9</v>
      </c>
      <c r="O15" s="28">
        <v>6109.8</v>
      </c>
      <c r="P15" s="28">
        <v>6109.8</v>
      </c>
      <c r="Q15" s="28">
        <v>6109.8</v>
      </c>
      <c r="R15" s="28">
        <v>6109.8</v>
      </c>
      <c r="S15" s="28">
        <v>6109.8</v>
      </c>
      <c r="T15" s="28">
        <v>6109.8</v>
      </c>
      <c r="U15" s="28">
        <v>6109.8</v>
      </c>
      <c r="V15" s="28">
        <v>6109.8</v>
      </c>
      <c r="W15" s="28">
        <v>6109.8</v>
      </c>
    </row>
    <row r="16" spans="1:23" ht="15.75" thickBot="1" x14ac:dyDescent="0.3">
      <c r="A16" s="18" t="s">
        <v>40</v>
      </c>
      <c r="B16" s="27" t="s">
        <v>93</v>
      </c>
      <c r="C16" s="27" t="s">
        <v>94</v>
      </c>
      <c r="D16" s="27" t="s">
        <v>95</v>
      </c>
      <c r="E16" s="27" t="s">
        <v>96</v>
      </c>
      <c r="F16" s="27" t="s">
        <v>97</v>
      </c>
      <c r="G16" s="27" t="s">
        <v>98</v>
      </c>
      <c r="H16" s="28">
        <v>4582.8</v>
      </c>
      <c r="I16" s="28">
        <v>4806.6000000000004</v>
      </c>
      <c r="J16" s="28">
        <v>5026.5</v>
      </c>
      <c r="K16" s="28">
        <v>5199.6000000000004</v>
      </c>
      <c r="L16" s="28">
        <v>5358.6</v>
      </c>
      <c r="M16" s="28">
        <v>5552.1</v>
      </c>
      <c r="N16" s="28">
        <v>5552.1</v>
      </c>
      <c r="O16" s="28">
        <v>5552.1</v>
      </c>
      <c r="P16" s="28">
        <v>5552.1</v>
      </c>
      <c r="Q16" s="28">
        <v>5552.1</v>
      </c>
      <c r="R16" s="28">
        <v>5552.1</v>
      </c>
      <c r="S16" s="28">
        <v>5552.1</v>
      </c>
      <c r="T16" s="28">
        <v>5552.1</v>
      </c>
      <c r="U16" s="28">
        <v>5552.1</v>
      </c>
      <c r="V16" s="28">
        <v>5552.1</v>
      </c>
      <c r="W16" s="28">
        <v>5552.1</v>
      </c>
    </row>
    <row r="17" spans="1:23" ht="15.75" thickBot="1" x14ac:dyDescent="0.3">
      <c r="A17" s="18" t="s">
        <v>41</v>
      </c>
      <c r="B17" s="28">
        <v>5308.2</v>
      </c>
      <c r="C17" s="28">
        <v>5308.2</v>
      </c>
      <c r="D17" s="28">
        <v>5308.2</v>
      </c>
      <c r="E17" s="28">
        <v>5308.2</v>
      </c>
      <c r="F17" s="28">
        <v>5308.2</v>
      </c>
      <c r="G17" s="28">
        <v>5308.2</v>
      </c>
      <c r="H17" s="28">
        <v>5308.2</v>
      </c>
      <c r="I17" s="28">
        <v>5428.5</v>
      </c>
      <c r="J17" s="28">
        <v>5580.3</v>
      </c>
      <c r="K17" s="28">
        <v>5758.2</v>
      </c>
      <c r="L17" s="28">
        <v>5938.8</v>
      </c>
      <c r="M17" s="28">
        <v>6226.5</v>
      </c>
      <c r="N17" s="28">
        <v>6470.7</v>
      </c>
      <c r="O17" s="28">
        <v>6726.6</v>
      </c>
      <c r="P17" s="28">
        <v>7119.3</v>
      </c>
      <c r="Q17" s="28">
        <v>7119.3</v>
      </c>
      <c r="R17" s="28">
        <v>7474.8</v>
      </c>
      <c r="S17" s="28">
        <v>7474.8</v>
      </c>
      <c r="T17" s="28">
        <v>7848.9</v>
      </c>
      <c r="U17" s="28">
        <v>7848.9</v>
      </c>
      <c r="V17" s="28">
        <v>8241.9</v>
      </c>
      <c r="W17" s="28">
        <v>8241.9</v>
      </c>
    </row>
    <row r="18" spans="1:23" ht="15.75" thickBot="1" x14ac:dyDescent="0.3">
      <c r="A18" s="18" t="s">
        <v>42</v>
      </c>
      <c r="B18" s="28">
        <v>4345.5</v>
      </c>
      <c r="C18" s="28">
        <v>4345.5</v>
      </c>
      <c r="D18" s="28">
        <v>4345.5</v>
      </c>
      <c r="E18" s="28">
        <v>4345.5</v>
      </c>
      <c r="F18" s="28">
        <v>4345.5</v>
      </c>
      <c r="G18" s="28">
        <v>4345.5</v>
      </c>
      <c r="H18" s="28">
        <v>4537.5</v>
      </c>
      <c r="I18" s="28">
        <v>4656.6000000000004</v>
      </c>
      <c r="J18" s="28">
        <v>4798.8</v>
      </c>
      <c r="K18" s="28">
        <v>4953.6000000000004</v>
      </c>
      <c r="L18" s="28">
        <v>5232.3</v>
      </c>
      <c r="M18" s="28">
        <v>5373.6</v>
      </c>
      <c r="N18" s="28">
        <v>5613.9</v>
      </c>
      <c r="O18" s="28">
        <v>5747.4</v>
      </c>
      <c r="P18" s="28">
        <v>6075.6</v>
      </c>
      <c r="Q18" s="28">
        <v>6075.6</v>
      </c>
      <c r="R18" s="28">
        <v>6197.7</v>
      </c>
      <c r="S18" s="28">
        <v>6197.7</v>
      </c>
      <c r="T18" s="28">
        <v>6197.7</v>
      </c>
      <c r="U18" s="28">
        <v>6197.7</v>
      </c>
      <c r="V18" s="28">
        <v>6197.7</v>
      </c>
      <c r="W18" s="28">
        <v>6197.7</v>
      </c>
    </row>
    <row r="19" spans="1:23" ht="15.75" thickBot="1" x14ac:dyDescent="0.3">
      <c r="A19" s="18" t="s">
        <v>43</v>
      </c>
      <c r="B19" s="28">
        <v>3020.7</v>
      </c>
      <c r="C19" s="28">
        <v>3296.7</v>
      </c>
      <c r="D19" s="28">
        <v>3423.3</v>
      </c>
      <c r="E19" s="28">
        <v>3590.1</v>
      </c>
      <c r="F19" s="28">
        <v>3720.9</v>
      </c>
      <c r="G19" s="28">
        <v>3945</v>
      </c>
      <c r="H19" s="28">
        <v>4071.6</v>
      </c>
      <c r="I19" s="28">
        <v>4295.7</v>
      </c>
      <c r="J19" s="28">
        <v>4482.6000000000004</v>
      </c>
      <c r="K19" s="28">
        <v>4609.8</v>
      </c>
      <c r="L19" s="28">
        <v>4745.3999999999996</v>
      </c>
      <c r="M19" s="28">
        <v>4797.6000000000004</v>
      </c>
      <c r="N19" s="28">
        <v>4974.3</v>
      </c>
      <c r="O19" s="28">
        <v>5068.8</v>
      </c>
      <c r="P19" s="28">
        <v>5429.1</v>
      </c>
      <c r="Q19" s="28">
        <v>5429.1</v>
      </c>
      <c r="R19" s="28">
        <v>5429.1</v>
      </c>
      <c r="S19" s="28">
        <v>5429.1</v>
      </c>
      <c r="T19" s="28">
        <v>5429.1</v>
      </c>
      <c r="U19" s="28">
        <v>5429.1</v>
      </c>
      <c r="V19" s="28">
        <v>5429.1</v>
      </c>
      <c r="W19" s="28">
        <v>5429.1</v>
      </c>
    </row>
    <row r="20" spans="1:23" ht="15.75" thickBot="1" x14ac:dyDescent="0.3">
      <c r="A20" s="18" t="s">
        <v>44</v>
      </c>
      <c r="B20" s="28">
        <v>2612.6999999999998</v>
      </c>
      <c r="C20" s="28">
        <v>2875.2</v>
      </c>
      <c r="D20" s="28">
        <v>3002.1</v>
      </c>
      <c r="E20" s="28">
        <v>3125.4</v>
      </c>
      <c r="F20" s="28">
        <v>3254.1</v>
      </c>
      <c r="G20" s="28">
        <v>3543.3</v>
      </c>
      <c r="H20" s="28">
        <v>3656.4</v>
      </c>
      <c r="I20" s="28">
        <v>3874.8</v>
      </c>
      <c r="J20" s="28">
        <v>3941.4</v>
      </c>
      <c r="K20" s="28">
        <v>3990</v>
      </c>
      <c r="L20" s="28">
        <v>4046.7</v>
      </c>
      <c r="M20" s="28">
        <v>4046.7</v>
      </c>
      <c r="N20" s="28">
        <v>4046.7</v>
      </c>
      <c r="O20" s="28">
        <v>4046.7</v>
      </c>
      <c r="P20" s="28">
        <v>4046.7</v>
      </c>
      <c r="Q20" s="28">
        <v>4046.7</v>
      </c>
      <c r="R20" s="28">
        <v>4046.7</v>
      </c>
      <c r="S20" s="28">
        <v>4046.7</v>
      </c>
      <c r="T20" s="28">
        <v>4046.7</v>
      </c>
      <c r="U20" s="28">
        <v>4046.7</v>
      </c>
      <c r="V20" s="28">
        <v>4046.7</v>
      </c>
      <c r="W20" s="28">
        <v>4046.7</v>
      </c>
    </row>
    <row r="21" spans="1:23" ht="15.75" thickBot="1" x14ac:dyDescent="0.3">
      <c r="A21" s="18" t="s">
        <v>45</v>
      </c>
      <c r="B21" s="28">
        <v>2393.4</v>
      </c>
      <c r="C21" s="28">
        <v>2554.8000000000002</v>
      </c>
      <c r="D21" s="28">
        <v>2678.1</v>
      </c>
      <c r="E21" s="28">
        <v>2804.4</v>
      </c>
      <c r="F21" s="28">
        <v>3001.5</v>
      </c>
      <c r="G21" s="28">
        <v>3207</v>
      </c>
      <c r="H21" s="28">
        <v>3376.2</v>
      </c>
      <c r="I21" s="28">
        <v>3396.6</v>
      </c>
      <c r="J21" s="28">
        <v>3396.6</v>
      </c>
      <c r="K21" s="28">
        <v>3396.6</v>
      </c>
      <c r="L21" s="28">
        <v>3396.6</v>
      </c>
      <c r="M21" s="28">
        <v>3396.6</v>
      </c>
      <c r="N21" s="28">
        <v>3396.6</v>
      </c>
      <c r="O21" s="28">
        <v>3396.6</v>
      </c>
      <c r="P21" s="28">
        <v>3396.6</v>
      </c>
      <c r="Q21" s="28">
        <v>3396.6</v>
      </c>
      <c r="R21" s="28">
        <v>3396.6</v>
      </c>
      <c r="S21" s="28">
        <v>3396.6</v>
      </c>
      <c r="T21" s="28">
        <v>3396.6</v>
      </c>
      <c r="U21" s="28">
        <v>3396.6</v>
      </c>
      <c r="V21" s="28">
        <v>3396.6</v>
      </c>
      <c r="W21" s="28">
        <v>3396.6</v>
      </c>
    </row>
    <row r="22" spans="1:23" ht="15.75" thickBot="1" x14ac:dyDescent="0.3">
      <c r="A22" s="18" t="s">
        <v>46</v>
      </c>
      <c r="B22" s="28">
        <v>2194.5</v>
      </c>
      <c r="C22" s="28">
        <v>2307</v>
      </c>
      <c r="D22" s="28">
        <v>2431.8000000000002</v>
      </c>
      <c r="E22" s="28">
        <v>2555.4</v>
      </c>
      <c r="F22" s="28">
        <v>2664</v>
      </c>
      <c r="G22" s="28">
        <v>2664</v>
      </c>
      <c r="H22" s="28">
        <v>2664</v>
      </c>
      <c r="I22" s="28">
        <v>2664</v>
      </c>
      <c r="J22" s="28">
        <v>2664</v>
      </c>
      <c r="K22" s="28">
        <v>2664</v>
      </c>
      <c r="L22" s="28">
        <v>2664</v>
      </c>
      <c r="M22" s="28">
        <v>2664</v>
      </c>
      <c r="N22" s="28">
        <v>2664</v>
      </c>
      <c r="O22" s="28">
        <v>2664</v>
      </c>
      <c r="P22" s="28">
        <v>2664</v>
      </c>
      <c r="Q22" s="28">
        <v>2664</v>
      </c>
      <c r="R22" s="28">
        <v>2664</v>
      </c>
      <c r="S22" s="28">
        <v>2664</v>
      </c>
      <c r="T22" s="28">
        <v>2664</v>
      </c>
      <c r="U22" s="28">
        <v>2664</v>
      </c>
      <c r="V22" s="28">
        <v>2664</v>
      </c>
      <c r="W22" s="28">
        <v>2664</v>
      </c>
    </row>
    <row r="23" spans="1:23" ht="15.75" thickBot="1" x14ac:dyDescent="0.3">
      <c r="A23" s="18" t="s">
        <v>47</v>
      </c>
      <c r="B23" s="28">
        <v>1981.2</v>
      </c>
      <c r="C23" s="28">
        <v>2105.6999999999998</v>
      </c>
      <c r="D23" s="28">
        <v>2233.5</v>
      </c>
      <c r="E23" s="28">
        <v>2233.5</v>
      </c>
      <c r="F23" s="28">
        <v>2233.5</v>
      </c>
      <c r="G23" s="28">
        <v>2233.5</v>
      </c>
      <c r="H23" s="28">
        <v>2233.5</v>
      </c>
      <c r="I23" s="28">
        <v>2233.5</v>
      </c>
      <c r="J23" s="28">
        <v>2233.5</v>
      </c>
      <c r="K23" s="28">
        <v>2233.5</v>
      </c>
      <c r="L23" s="28">
        <v>2233.5</v>
      </c>
      <c r="M23" s="28">
        <v>2233.5</v>
      </c>
      <c r="N23" s="28">
        <v>2233.5</v>
      </c>
      <c r="O23" s="28">
        <v>2233.5</v>
      </c>
      <c r="P23" s="28">
        <v>2233.5</v>
      </c>
      <c r="Q23" s="28">
        <v>2233.5</v>
      </c>
      <c r="R23" s="28">
        <v>2233.5</v>
      </c>
      <c r="S23" s="28">
        <v>2233.5</v>
      </c>
      <c r="T23" s="28">
        <v>2233.5</v>
      </c>
      <c r="U23" s="28">
        <v>2233.5</v>
      </c>
      <c r="V23" s="28">
        <v>2233.5</v>
      </c>
      <c r="W23" s="28">
        <v>2233.5</v>
      </c>
    </row>
    <row r="24" spans="1:23" ht="15.75" thickBot="1" x14ac:dyDescent="0.3">
      <c r="A24" s="18" t="s">
        <v>48</v>
      </c>
      <c r="B24" s="28">
        <v>1884</v>
      </c>
      <c r="C24" s="28">
        <v>1884</v>
      </c>
      <c r="D24" s="28">
        <v>1884</v>
      </c>
      <c r="E24" s="28">
        <v>1884</v>
      </c>
      <c r="F24" s="28">
        <v>1884</v>
      </c>
      <c r="G24" s="28">
        <v>1884</v>
      </c>
      <c r="H24" s="28">
        <v>1884</v>
      </c>
      <c r="I24" s="28">
        <v>1884</v>
      </c>
      <c r="J24" s="28">
        <v>1884</v>
      </c>
      <c r="K24" s="28">
        <v>1884</v>
      </c>
      <c r="L24" s="28">
        <v>1884</v>
      </c>
      <c r="M24" s="28">
        <v>1884</v>
      </c>
      <c r="N24" s="28">
        <v>1884</v>
      </c>
      <c r="O24" s="28">
        <v>1884</v>
      </c>
      <c r="P24" s="28">
        <v>1884</v>
      </c>
      <c r="Q24" s="28">
        <v>1884</v>
      </c>
      <c r="R24" s="28">
        <v>1884</v>
      </c>
      <c r="S24" s="28">
        <v>1884</v>
      </c>
      <c r="T24" s="28">
        <v>1884</v>
      </c>
      <c r="U24" s="28">
        <v>1884</v>
      </c>
      <c r="V24" s="28">
        <v>1884</v>
      </c>
      <c r="W24" s="28">
        <v>1884</v>
      </c>
    </row>
    <row r="25" spans="1:23" ht="15.75" thickBot="1" x14ac:dyDescent="0.3">
      <c r="A25" s="18" t="s">
        <v>57</v>
      </c>
      <c r="B25" s="28">
        <v>1680.9</v>
      </c>
      <c r="C25" s="28">
        <v>1680.9</v>
      </c>
      <c r="D25" s="28">
        <v>1680.9</v>
      </c>
      <c r="E25" s="28">
        <v>1680.9</v>
      </c>
      <c r="F25" s="28">
        <v>1680.9</v>
      </c>
      <c r="G25" s="28">
        <v>1680.9</v>
      </c>
      <c r="H25" s="28">
        <v>1680.9</v>
      </c>
      <c r="I25" s="28">
        <v>1680.9</v>
      </c>
      <c r="J25" s="28">
        <v>1680.9</v>
      </c>
      <c r="K25" s="28">
        <v>1680.9</v>
      </c>
      <c r="L25" s="28">
        <v>1680.9</v>
      </c>
      <c r="M25" s="28">
        <v>1680.9</v>
      </c>
      <c r="N25" s="28">
        <v>1680.9</v>
      </c>
      <c r="O25" s="28">
        <v>1680.9</v>
      </c>
      <c r="P25" s="28">
        <v>1680.9</v>
      </c>
      <c r="Q25" s="28">
        <v>1680.9</v>
      </c>
      <c r="R25" s="28">
        <v>1680.9</v>
      </c>
      <c r="S25" s="28">
        <v>1680.9</v>
      </c>
      <c r="T25" s="28">
        <v>1680.9</v>
      </c>
      <c r="U25" s="28">
        <v>1680.9</v>
      </c>
      <c r="V25" s="28">
        <v>1680.9</v>
      </c>
      <c r="W25" s="28">
        <v>1680.9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6ADAB-6DE0-4E6F-82C3-14EBA496EF40}">
  <sheetPr codeName="Sheet5"/>
  <dimension ref="A1:W25"/>
  <sheetViews>
    <sheetView workbookViewId="0">
      <selection activeCell="A2" sqref="A2:A25"/>
    </sheetView>
  </sheetViews>
  <sheetFormatPr defaultRowHeight="15" x14ac:dyDescent="0.25"/>
  <cols>
    <col min="1" max="1" width="18.28515625" style="15" bestFit="1" customWidth="1"/>
    <col min="2" max="16384" width="9.140625" style="15"/>
  </cols>
  <sheetData>
    <row r="1" spans="1:23" x14ac:dyDescent="0.25">
      <c r="A1" s="16"/>
      <c r="B1" s="16">
        <v>0</v>
      </c>
      <c r="C1" s="16">
        <v>2</v>
      </c>
      <c r="D1" s="16">
        <v>3</v>
      </c>
      <c r="E1" s="16">
        <v>4</v>
      </c>
      <c r="F1" s="16">
        <v>6</v>
      </c>
      <c r="G1" s="16">
        <v>8</v>
      </c>
      <c r="H1" s="16">
        <v>10</v>
      </c>
      <c r="I1" s="16">
        <v>12</v>
      </c>
      <c r="J1" s="16">
        <v>14</v>
      </c>
      <c r="K1" s="16">
        <v>16</v>
      </c>
      <c r="L1" s="16">
        <v>18</v>
      </c>
      <c r="M1" s="16">
        <v>20</v>
      </c>
      <c r="N1" s="16">
        <v>22</v>
      </c>
      <c r="O1" s="16">
        <v>24</v>
      </c>
      <c r="P1" s="16">
        <v>26</v>
      </c>
      <c r="Q1" s="16">
        <v>28</v>
      </c>
      <c r="R1" s="16">
        <v>30</v>
      </c>
      <c r="S1" s="16">
        <v>32</v>
      </c>
      <c r="T1" s="16">
        <v>34</v>
      </c>
      <c r="U1" s="16">
        <v>36</v>
      </c>
      <c r="V1" s="16">
        <v>38</v>
      </c>
      <c r="W1" s="16">
        <v>40</v>
      </c>
    </row>
    <row r="2" spans="1:23" x14ac:dyDescent="0.25">
      <c r="A2" s="16" t="s">
        <v>49</v>
      </c>
      <c r="B2" s="17">
        <v>16025.1</v>
      </c>
      <c r="C2" s="17">
        <v>16025.1</v>
      </c>
      <c r="D2" s="17">
        <v>16025.1</v>
      </c>
      <c r="E2" s="17">
        <v>16025.1</v>
      </c>
      <c r="F2" s="17">
        <v>16025.1</v>
      </c>
      <c r="G2" s="17">
        <v>16025.1</v>
      </c>
      <c r="H2" s="17">
        <v>16025.1</v>
      </c>
      <c r="I2" s="17">
        <v>16025.1</v>
      </c>
      <c r="J2" s="17">
        <v>16025.1</v>
      </c>
      <c r="K2" s="17">
        <v>16025.1</v>
      </c>
      <c r="L2" s="17">
        <v>16025.1</v>
      </c>
      <c r="M2" s="17">
        <v>16025.1</v>
      </c>
      <c r="N2" s="17">
        <v>16025.1</v>
      </c>
      <c r="O2" s="17">
        <v>16025.1</v>
      </c>
      <c r="P2" s="17">
        <v>16025.1</v>
      </c>
      <c r="Q2" s="17">
        <v>16025.1</v>
      </c>
      <c r="R2" s="17">
        <v>16025.1</v>
      </c>
      <c r="S2" s="17">
        <v>16025.1</v>
      </c>
      <c r="T2" s="17">
        <v>16025.1</v>
      </c>
      <c r="U2" s="17">
        <v>16025.1</v>
      </c>
      <c r="V2" s="17">
        <v>16025.1</v>
      </c>
      <c r="W2" s="17">
        <v>16025.1</v>
      </c>
    </row>
    <row r="3" spans="1:23" x14ac:dyDescent="0.25">
      <c r="A3" s="16" t="s">
        <v>50</v>
      </c>
      <c r="B3" s="17">
        <v>15078.6</v>
      </c>
      <c r="C3" s="17">
        <v>15078.6</v>
      </c>
      <c r="D3" s="17">
        <v>15078.6</v>
      </c>
      <c r="E3" s="17">
        <v>15078.6</v>
      </c>
      <c r="F3" s="17">
        <v>15078.6</v>
      </c>
      <c r="G3" s="17">
        <v>15078.6</v>
      </c>
      <c r="H3" s="17">
        <v>15078.6</v>
      </c>
      <c r="I3" s="17">
        <v>15078.6</v>
      </c>
      <c r="J3" s="17">
        <v>15078.6</v>
      </c>
      <c r="K3" s="17">
        <v>15078.6</v>
      </c>
      <c r="L3" s="17">
        <v>15078.6</v>
      </c>
      <c r="M3" s="17">
        <v>15078.6</v>
      </c>
      <c r="N3" s="17">
        <v>15296.4</v>
      </c>
      <c r="O3" s="17">
        <v>15610.2</v>
      </c>
      <c r="P3" s="17">
        <v>16025.1</v>
      </c>
      <c r="Q3" s="17">
        <v>16025.1</v>
      </c>
      <c r="R3" s="17">
        <v>16025.1</v>
      </c>
      <c r="S3" s="17">
        <v>16025.1</v>
      </c>
      <c r="T3" s="17">
        <v>16025.1</v>
      </c>
      <c r="U3" s="17">
        <v>16025.1</v>
      </c>
      <c r="V3" s="17">
        <v>16025.1</v>
      </c>
      <c r="W3" s="17">
        <v>16025.1</v>
      </c>
    </row>
    <row r="4" spans="1:23" x14ac:dyDescent="0.25">
      <c r="A4" s="16" t="s">
        <v>51</v>
      </c>
      <c r="B4" s="17">
        <v>10668.9</v>
      </c>
      <c r="C4" s="17">
        <v>11018.7</v>
      </c>
      <c r="D4" s="17">
        <v>11250.6</v>
      </c>
      <c r="E4" s="17">
        <v>11315.4</v>
      </c>
      <c r="F4" s="17">
        <v>11604.9</v>
      </c>
      <c r="G4" s="17">
        <v>12088.2</v>
      </c>
      <c r="H4" s="17">
        <v>12200.7</v>
      </c>
      <c r="I4" s="17">
        <v>12659.7</v>
      </c>
      <c r="J4" s="17">
        <v>12791.7</v>
      </c>
      <c r="K4" s="17">
        <v>13187.1</v>
      </c>
      <c r="L4" s="17">
        <v>13759.5</v>
      </c>
      <c r="M4" s="17">
        <v>14287.2</v>
      </c>
      <c r="N4" s="17">
        <v>14639.4</v>
      </c>
      <c r="O4" s="17">
        <v>14639.4</v>
      </c>
      <c r="P4" s="17">
        <v>14639.4</v>
      </c>
      <c r="Q4" s="17">
        <v>14639.4</v>
      </c>
      <c r="R4" s="17">
        <v>15006</v>
      </c>
      <c r="S4" s="17">
        <v>15006</v>
      </c>
      <c r="T4" s="17">
        <v>15380.7</v>
      </c>
      <c r="U4" s="17">
        <v>15380.7</v>
      </c>
      <c r="V4" s="17">
        <v>15380.7</v>
      </c>
      <c r="W4" s="17">
        <v>15380.7</v>
      </c>
    </row>
    <row r="5" spans="1:23" x14ac:dyDescent="0.25">
      <c r="A5" s="16" t="s">
        <v>52</v>
      </c>
      <c r="B5" s="17">
        <v>8865.2999999999993</v>
      </c>
      <c r="C5" s="17">
        <v>9276.9</v>
      </c>
      <c r="D5" s="17">
        <v>9467.7000000000007</v>
      </c>
      <c r="E5" s="17">
        <v>9619.2000000000007</v>
      </c>
      <c r="F5" s="17">
        <v>9893.4</v>
      </c>
      <c r="G5" s="17">
        <v>10164.6</v>
      </c>
      <c r="H5" s="17">
        <v>10477.799999999999</v>
      </c>
      <c r="I5" s="17">
        <v>10790.1</v>
      </c>
      <c r="J5" s="17">
        <v>11103.6</v>
      </c>
      <c r="K5" s="17">
        <v>12088.2</v>
      </c>
      <c r="L5" s="17">
        <v>12919.2</v>
      </c>
      <c r="M5" s="17">
        <v>12919.2</v>
      </c>
      <c r="N5" s="17">
        <v>12919.2</v>
      </c>
      <c r="O5" s="17">
        <v>12919.2</v>
      </c>
      <c r="P5" s="17">
        <v>12985.5</v>
      </c>
      <c r="Q5" s="17">
        <v>12985.5</v>
      </c>
      <c r="R5" s="17">
        <v>13245.3</v>
      </c>
      <c r="S5" s="17">
        <v>13245.3</v>
      </c>
      <c r="T5" s="17">
        <v>13245.3</v>
      </c>
      <c r="U5" s="17">
        <v>13245.3</v>
      </c>
      <c r="V5" s="17">
        <v>13245.3</v>
      </c>
      <c r="W5" s="17">
        <v>13245.3</v>
      </c>
    </row>
    <row r="6" spans="1:23" x14ac:dyDescent="0.25">
      <c r="A6" s="16" t="s">
        <v>53</v>
      </c>
      <c r="B6" s="17">
        <v>6722.7</v>
      </c>
      <c r="C6" s="17">
        <v>7385.7</v>
      </c>
      <c r="D6" s="17">
        <v>7870.5</v>
      </c>
      <c r="E6" s="17">
        <v>7870.5</v>
      </c>
      <c r="F6" s="17">
        <v>7900.5</v>
      </c>
      <c r="G6" s="17">
        <v>8239.2000000000007</v>
      </c>
      <c r="H6" s="17">
        <v>8283.9</v>
      </c>
      <c r="I6" s="17">
        <v>8283.9</v>
      </c>
      <c r="J6" s="17">
        <v>8754.2999999999993</v>
      </c>
      <c r="K6" s="17">
        <v>9586.7999999999993</v>
      </c>
      <c r="L6" s="17">
        <v>10075.200000000001</v>
      </c>
      <c r="M6" s="17">
        <v>10563.3</v>
      </c>
      <c r="N6" s="17">
        <v>10841.4</v>
      </c>
      <c r="O6" s="17">
        <v>11123.1</v>
      </c>
      <c r="P6" s="17">
        <v>11668.2</v>
      </c>
      <c r="Q6" s="17">
        <v>11668.2</v>
      </c>
      <c r="R6" s="17">
        <v>11901.3</v>
      </c>
      <c r="S6" s="17">
        <v>11901.3</v>
      </c>
      <c r="T6" s="17">
        <v>11901.3</v>
      </c>
      <c r="U6" s="17">
        <v>11901.3</v>
      </c>
      <c r="V6" s="17">
        <v>11901.3</v>
      </c>
      <c r="W6" s="17">
        <v>11901.3</v>
      </c>
    </row>
    <row r="7" spans="1:23" x14ac:dyDescent="0.25">
      <c r="A7" s="16" t="s">
        <v>34</v>
      </c>
      <c r="B7" s="17">
        <v>5604.3</v>
      </c>
      <c r="C7" s="17">
        <v>6313.5</v>
      </c>
      <c r="D7" s="17">
        <v>6750</v>
      </c>
      <c r="E7" s="17">
        <v>6832.5</v>
      </c>
      <c r="F7" s="17">
        <v>7105.5</v>
      </c>
      <c r="G7" s="17">
        <v>7268.4</v>
      </c>
      <c r="H7" s="17">
        <v>7627.2</v>
      </c>
      <c r="I7" s="17">
        <v>7890.9</v>
      </c>
      <c r="J7" s="17">
        <v>8230.7999999999993</v>
      </c>
      <c r="K7" s="17">
        <v>8751.2999999999993</v>
      </c>
      <c r="L7" s="17">
        <v>8998.5</v>
      </c>
      <c r="M7" s="17">
        <v>9243.6</v>
      </c>
      <c r="N7" s="17">
        <v>9521.4</v>
      </c>
      <c r="O7" s="17">
        <v>9521.4</v>
      </c>
      <c r="P7" s="17">
        <v>9521.4</v>
      </c>
      <c r="Q7" s="17">
        <v>9521.4</v>
      </c>
      <c r="R7" s="17">
        <v>9521.4</v>
      </c>
      <c r="S7" s="17">
        <v>9521.4</v>
      </c>
      <c r="T7" s="17">
        <v>9521.4</v>
      </c>
      <c r="U7" s="17">
        <v>9521.4</v>
      </c>
      <c r="V7" s="17">
        <v>9521.4</v>
      </c>
      <c r="W7" s="17">
        <v>9521.4</v>
      </c>
    </row>
    <row r="8" spans="1:23" x14ac:dyDescent="0.25">
      <c r="A8" s="16" t="s">
        <v>35</v>
      </c>
      <c r="B8" s="17">
        <v>4835.3999999999996</v>
      </c>
      <c r="C8" s="17">
        <v>5597.4</v>
      </c>
      <c r="D8" s="17">
        <v>5971.2</v>
      </c>
      <c r="E8" s="17">
        <v>6054</v>
      </c>
      <c r="F8" s="17">
        <v>6400.8</v>
      </c>
      <c r="G8" s="17">
        <v>6772.8</v>
      </c>
      <c r="H8" s="17">
        <v>7236</v>
      </c>
      <c r="I8" s="17">
        <v>7596.3</v>
      </c>
      <c r="J8" s="17">
        <v>7846.5</v>
      </c>
      <c r="K8" s="17">
        <v>7990.5</v>
      </c>
      <c r="L8" s="17">
        <v>8073.9</v>
      </c>
      <c r="M8" s="17">
        <v>8073.9</v>
      </c>
      <c r="N8" s="17">
        <v>8073.9</v>
      </c>
      <c r="O8" s="17">
        <v>8073.9</v>
      </c>
      <c r="P8" s="17">
        <v>8073.9</v>
      </c>
      <c r="Q8" s="17">
        <v>8073.9</v>
      </c>
      <c r="R8" s="17">
        <v>8073.9</v>
      </c>
      <c r="S8" s="17">
        <v>8073.9</v>
      </c>
      <c r="T8" s="17">
        <v>8073.9</v>
      </c>
      <c r="U8" s="17">
        <v>8073.9</v>
      </c>
      <c r="V8" s="17">
        <v>8073.9</v>
      </c>
      <c r="W8" s="17">
        <v>8073.9</v>
      </c>
    </row>
    <row r="9" spans="1:23" x14ac:dyDescent="0.25">
      <c r="A9" s="16" t="s">
        <v>54</v>
      </c>
      <c r="B9" s="17">
        <v>4251.6000000000004</v>
      </c>
      <c r="C9" s="17">
        <v>4819.2</v>
      </c>
      <c r="D9" s="17">
        <v>5201.3999999999996</v>
      </c>
      <c r="E9" s="17">
        <v>5671.5</v>
      </c>
      <c r="F9" s="17">
        <v>5943.6</v>
      </c>
      <c r="G9" s="17">
        <v>6241.5</v>
      </c>
      <c r="H9" s="17">
        <v>6434.4</v>
      </c>
      <c r="I9" s="17">
        <v>6751.2</v>
      </c>
      <c r="J9" s="17">
        <v>6916.8</v>
      </c>
      <c r="K9" s="17">
        <v>6916.8</v>
      </c>
      <c r="L9" s="17">
        <v>6916.8</v>
      </c>
      <c r="M9" s="17">
        <v>6916.8</v>
      </c>
      <c r="N9" s="17">
        <v>6916.8</v>
      </c>
      <c r="O9" s="17">
        <v>6916.8</v>
      </c>
      <c r="P9" s="17">
        <v>6916.8</v>
      </c>
      <c r="Q9" s="17">
        <v>6916.8</v>
      </c>
      <c r="R9" s="17">
        <v>6916.8</v>
      </c>
      <c r="S9" s="17">
        <v>6916.8</v>
      </c>
      <c r="T9" s="17">
        <v>6916.8</v>
      </c>
      <c r="U9" s="17">
        <v>6916.8</v>
      </c>
      <c r="V9" s="17">
        <v>6916.8</v>
      </c>
      <c r="W9" s="17">
        <v>6916.8</v>
      </c>
    </row>
    <row r="10" spans="1:23" x14ac:dyDescent="0.25">
      <c r="A10" s="16" t="s">
        <v>55</v>
      </c>
      <c r="B10" s="17">
        <v>3673.5</v>
      </c>
      <c r="C10" s="17">
        <v>4183.8</v>
      </c>
      <c r="D10" s="17">
        <v>4818.3</v>
      </c>
      <c r="E10" s="17">
        <v>4981.2</v>
      </c>
      <c r="F10" s="17">
        <v>5083.8</v>
      </c>
      <c r="G10" s="17">
        <v>5083.8</v>
      </c>
      <c r="H10" s="17">
        <v>5083.8</v>
      </c>
      <c r="I10" s="17">
        <v>5083.8</v>
      </c>
      <c r="J10" s="17">
        <v>5083.8</v>
      </c>
      <c r="K10" s="17">
        <v>5083.8</v>
      </c>
      <c r="L10" s="17">
        <v>5083.8</v>
      </c>
      <c r="M10" s="17">
        <v>5083.8</v>
      </c>
      <c r="N10" s="17">
        <v>5083.8</v>
      </c>
      <c r="O10" s="17">
        <v>5083.8</v>
      </c>
      <c r="P10" s="17">
        <v>5083.8</v>
      </c>
      <c r="Q10" s="17">
        <v>5083.8</v>
      </c>
      <c r="R10" s="17">
        <v>5083.8</v>
      </c>
      <c r="S10" s="17">
        <v>5083.8</v>
      </c>
      <c r="T10" s="17">
        <v>5083.8</v>
      </c>
      <c r="U10" s="17">
        <v>5083.8</v>
      </c>
      <c r="V10" s="17">
        <v>5083.8</v>
      </c>
      <c r="W10" s="17">
        <v>5083.8</v>
      </c>
    </row>
    <row r="11" spans="1:23" x14ac:dyDescent="0.25">
      <c r="A11" s="16" t="s">
        <v>56</v>
      </c>
      <c r="B11" s="17">
        <v>3188.4</v>
      </c>
      <c r="C11" s="17">
        <v>3318.9</v>
      </c>
      <c r="D11" s="17">
        <v>4011.9</v>
      </c>
      <c r="E11" s="17">
        <v>4011.9</v>
      </c>
      <c r="F11" s="17">
        <v>4011.9</v>
      </c>
      <c r="G11" s="17">
        <v>4011.9</v>
      </c>
      <c r="H11" s="17">
        <v>4011.9</v>
      </c>
      <c r="I11" s="17">
        <v>4011.9</v>
      </c>
      <c r="J11" s="17">
        <v>4011.9</v>
      </c>
      <c r="K11" s="17">
        <v>4011.9</v>
      </c>
      <c r="L11" s="17">
        <v>4011.9</v>
      </c>
      <c r="M11" s="17">
        <v>4011.9</v>
      </c>
      <c r="N11" s="17">
        <v>4011.9</v>
      </c>
      <c r="O11" s="17">
        <v>4011.9</v>
      </c>
      <c r="P11" s="17">
        <v>4011.9</v>
      </c>
      <c r="Q11" s="17">
        <v>4011.9</v>
      </c>
      <c r="R11" s="17">
        <v>4011.9</v>
      </c>
      <c r="S11" s="17">
        <v>4011.9</v>
      </c>
      <c r="T11" s="17">
        <v>4011.9</v>
      </c>
      <c r="U11" s="17">
        <v>4011.9</v>
      </c>
      <c r="V11" s="17">
        <v>4011.9</v>
      </c>
      <c r="W11" s="17">
        <v>4011.9</v>
      </c>
    </row>
    <row r="12" spans="1:23" x14ac:dyDescent="0.25">
      <c r="A12" s="18" t="s">
        <v>36</v>
      </c>
      <c r="B12" s="19">
        <v>7812.6</v>
      </c>
      <c r="C12" s="19">
        <v>7812.6</v>
      </c>
      <c r="D12" s="19">
        <v>7812.6</v>
      </c>
      <c r="E12" s="19">
        <v>7812.6</v>
      </c>
      <c r="F12" s="19">
        <v>7812.6</v>
      </c>
      <c r="G12" s="19">
        <v>7812.6</v>
      </c>
      <c r="H12" s="19">
        <v>7812.6</v>
      </c>
      <c r="I12" s="19">
        <v>7812.6</v>
      </c>
      <c r="J12" s="19">
        <v>7812.6</v>
      </c>
      <c r="K12" s="19">
        <v>7812.6</v>
      </c>
      <c r="L12" s="19">
        <v>7812.6</v>
      </c>
      <c r="M12" s="19">
        <v>7812.6</v>
      </c>
      <c r="N12" s="19">
        <v>8208.6</v>
      </c>
      <c r="O12" s="19">
        <v>8503.7999999999993</v>
      </c>
      <c r="P12" s="19">
        <v>8830.5</v>
      </c>
      <c r="Q12" s="19">
        <v>8830.5</v>
      </c>
      <c r="R12" s="19">
        <v>9272.7000000000007</v>
      </c>
      <c r="S12" s="19">
        <v>9272.7000000000007</v>
      </c>
      <c r="T12" s="19">
        <v>9735.6</v>
      </c>
      <c r="U12" s="19">
        <v>9735.6</v>
      </c>
      <c r="V12" s="19">
        <v>10223.4</v>
      </c>
      <c r="W12" s="19">
        <v>10223.4</v>
      </c>
    </row>
    <row r="13" spans="1:23" x14ac:dyDescent="0.25">
      <c r="A13" s="18" t="s">
        <v>37</v>
      </c>
      <c r="B13" s="19">
        <v>4393.8</v>
      </c>
      <c r="C13" s="19">
        <v>4726.2</v>
      </c>
      <c r="D13" s="19">
        <v>4861.8</v>
      </c>
      <c r="E13" s="19">
        <v>4995.3</v>
      </c>
      <c r="F13" s="19">
        <v>5225.1000000000004</v>
      </c>
      <c r="G13" s="19">
        <v>5452.8</v>
      </c>
      <c r="H13" s="19">
        <v>5683.2</v>
      </c>
      <c r="I13" s="19">
        <v>6029.1</v>
      </c>
      <c r="J13" s="19">
        <v>6333</v>
      </c>
      <c r="K13" s="19">
        <v>6621.9</v>
      </c>
      <c r="L13" s="19">
        <v>6858.6</v>
      </c>
      <c r="M13" s="19">
        <v>7089.3</v>
      </c>
      <c r="N13" s="19">
        <v>7428</v>
      </c>
      <c r="O13" s="19">
        <v>7706.4</v>
      </c>
      <c r="P13" s="19">
        <v>8024.1</v>
      </c>
      <c r="Q13" s="19">
        <v>8024.1</v>
      </c>
      <c r="R13" s="19">
        <v>8184</v>
      </c>
      <c r="S13" s="19">
        <v>8184</v>
      </c>
      <c r="T13" s="19">
        <v>8184</v>
      </c>
      <c r="U13" s="19">
        <v>8184</v>
      </c>
      <c r="V13" s="19">
        <v>8184</v>
      </c>
      <c r="W13" s="19">
        <v>8184</v>
      </c>
    </row>
    <row r="14" spans="1:23" x14ac:dyDescent="0.25">
      <c r="A14" s="18" t="s">
        <v>38</v>
      </c>
      <c r="B14" s="19">
        <v>4012.5</v>
      </c>
      <c r="C14" s="19">
        <v>4179.6000000000004</v>
      </c>
      <c r="D14" s="19">
        <v>4351.2</v>
      </c>
      <c r="E14" s="19">
        <v>4407.6000000000004</v>
      </c>
      <c r="F14" s="19">
        <v>4586.7</v>
      </c>
      <c r="G14" s="19">
        <v>4940.3999999999996</v>
      </c>
      <c r="H14" s="19">
        <v>5308.5</v>
      </c>
      <c r="I14" s="19">
        <v>5482.2</v>
      </c>
      <c r="J14" s="19">
        <v>5682.9</v>
      </c>
      <c r="K14" s="19">
        <v>5889</v>
      </c>
      <c r="L14" s="19">
        <v>6261</v>
      </c>
      <c r="M14" s="19">
        <v>6511.8</v>
      </c>
      <c r="N14" s="19">
        <v>6661.8</v>
      </c>
      <c r="O14" s="19">
        <v>6821.1</v>
      </c>
      <c r="P14" s="19">
        <v>7038.6</v>
      </c>
      <c r="Q14" s="19">
        <v>7038.6</v>
      </c>
      <c r="R14" s="19">
        <v>7038.6</v>
      </c>
      <c r="S14" s="19">
        <v>7038.6</v>
      </c>
      <c r="T14" s="19">
        <v>7038.6</v>
      </c>
      <c r="U14" s="19">
        <v>7038.6</v>
      </c>
      <c r="V14" s="19">
        <v>7038.6</v>
      </c>
      <c r="W14" s="19">
        <v>7038.6</v>
      </c>
    </row>
    <row r="15" spans="1:23" x14ac:dyDescent="0.25">
      <c r="A15" s="18" t="s">
        <v>39</v>
      </c>
      <c r="B15" s="19">
        <v>3550.5</v>
      </c>
      <c r="C15" s="19">
        <v>3886.2</v>
      </c>
      <c r="D15" s="19">
        <v>3989.7</v>
      </c>
      <c r="E15" s="19">
        <v>4060.5</v>
      </c>
      <c r="F15" s="19">
        <v>4290.8999999999996</v>
      </c>
      <c r="G15" s="19">
        <v>4648.8</v>
      </c>
      <c r="H15" s="19">
        <v>4826.1000000000004</v>
      </c>
      <c r="I15" s="19">
        <v>5000.3999999999996</v>
      </c>
      <c r="J15" s="19">
        <v>5214</v>
      </c>
      <c r="K15" s="19">
        <v>5381.1</v>
      </c>
      <c r="L15" s="19">
        <v>5532</v>
      </c>
      <c r="M15" s="19">
        <v>5713.2</v>
      </c>
      <c r="N15" s="19">
        <v>5832</v>
      </c>
      <c r="O15" s="19">
        <v>5926.2</v>
      </c>
      <c r="P15" s="19">
        <v>5926.2</v>
      </c>
      <c r="Q15" s="19">
        <v>5926.2</v>
      </c>
      <c r="R15" s="19">
        <v>5926.2</v>
      </c>
      <c r="S15" s="19">
        <v>5926.2</v>
      </c>
      <c r="T15" s="19">
        <v>5926.2</v>
      </c>
      <c r="U15" s="19">
        <v>5926.2</v>
      </c>
      <c r="V15" s="19">
        <v>5926.2</v>
      </c>
      <c r="W15" s="19">
        <v>5926.2</v>
      </c>
    </row>
    <row r="16" spans="1:23" x14ac:dyDescent="0.25">
      <c r="A16" s="18" t="s">
        <v>40</v>
      </c>
      <c r="B16" s="19">
        <v>3116.4</v>
      </c>
      <c r="C16" s="19">
        <v>3452.1</v>
      </c>
      <c r="D16" s="19">
        <v>3542.1</v>
      </c>
      <c r="E16" s="19">
        <v>3732.6</v>
      </c>
      <c r="F16" s="19">
        <v>3957.9</v>
      </c>
      <c r="G16" s="19">
        <v>4290.3</v>
      </c>
      <c r="H16" s="19">
        <v>4445.1000000000004</v>
      </c>
      <c r="I16" s="19">
        <v>4662</v>
      </c>
      <c r="J16" s="19">
        <v>4875.3</v>
      </c>
      <c r="K16" s="19">
        <v>5043.3</v>
      </c>
      <c r="L16" s="19">
        <v>5197.5</v>
      </c>
      <c r="M16" s="19">
        <v>5385.3</v>
      </c>
      <c r="N16" s="19">
        <v>5385.3</v>
      </c>
      <c r="O16" s="19">
        <v>5385.3</v>
      </c>
      <c r="P16" s="19">
        <v>5385.3</v>
      </c>
      <c r="Q16" s="19">
        <v>5385.3</v>
      </c>
      <c r="R16" s="19">
        <v>5385.3</v>
      </c>
      <c r="S16" s="19">
        <v>5385.3</v>
      </c>
      <c r="T16" s="19">
        <v>5385.3</v>
      </c>
      <c r="U16" s="19">
        <v>5385.3</v>
      </c>
      <c r="V16" s="19">
        <v>5385.3</v>
      </c>
      <c r="W16" s="19">
        <v>5385.3</v>
      </c>
    </row>
    <row r="17" spans="1:23" x14ac:dyDescent="0.25">
      <c r="A17" s="18" t="s">
        <v>41</v>
      </c>
      <c r="B17" s="19">
        <v>5308.2</v>
      </c>
      <c r="C17" s="19">
        <v>5308.2</v>
      </c>
      <c r="D17" s="19">
        <v>5308.2</v>
      </c>
      <c r="E17" s="19">
        <v>5308.2</v>
      </c>
      <c r="F17" s="19">
        <v>5308.2</v>
      </c>
      <c r="G17" s="19">
        <v>5308.2</v>
      </c>
      <c r="H17" s="19">
        <v>5308.2</v>
      </c>
      <c r="I17" s="19">
        <v>5428.5</v>
      </c>
      <c r="J17" s="19">
        <v>5580.3</v>
      </c>
      <c r="K17" s="19">
        <v>5758.2</v>
      </c>
      <c r="L17" s="19">
        <v>5938.8</v>
      </c>
      <c r="M17" s="19">
        <v>6226.5</v>
      </c>
      <c r="N17" s="19">
        <v>6470.7</v>
      </c>
      <c r="O17" s="19">
        <v>6726.6</v>
      </c>
      <c r="P17" s="19">
        <v>7119.3</v>
      </c>
      <c r="Q17" s="19">
        <v>7119.3</v>
      </c>
      <c r="R17" s="19">
        <v>7474.8</v>
      </c>
      <c r="S17" s="19">
        <v>7474.8</v>
      </c>
      <c r="T17" s="19">
        <v>7848.9</v>
      </c>
      <c r="U17" s="19">
        <v>7848.9</v>
      </c>
      <c r="V17" s="19">
        <v>8241.9</v>
      </c>
      <c r="W17" s="19">
        <v>8241.9</v>
      </c>
    </row>
    <row r="18" spans="1:23" x14ac:dyDescent="0.25">
      <c r="A18" s="18" t="s">
        <v>42</v>
      </c>
      <c r="B18" s="19">
        <v>4345.5</v>
      </c>
      <c r="C18" s="19">
        <v>4345.5</v>
      </c>
      <c r="D18" s="19">
        <v>4345.5</v>
      </c>
      <c r="E18" s="19">
        <v>4345.5</v>
      </c>
      <c r="F18" s="19">
        <v>4345.5</v>
      </c>
      <c r="G18" s="19">
        <v>4345.5</v>
      </c>
      <c r="H18" s="19">
        <v>4537.5</v>
      </c>
      <c r="I18" s="19">
        <v>4656.6000000000004</v>
      </c>
      <c r="J18" s="19">
        <v>4798.8</v>
      </c>
      <c r="K18" s="19">
        <v>4953.6000000000004</v>
      </c>
      <c r="L18" s="19">
        <v>5232.3</v>
      </c>
      <c r="M18" s="19">
        <v>5373.6</v>
      </c>
      <c r="N18" s="19">
        <v>5613.9</v>
      </c>
      <c r="O18" s="19">
        <v>5747.4</v>
      </c>
      <c r="P18" s="19">
        <v>6075.6</v>
      </c>
      <c r="Q18" s="19">
        <v>6075.6</v>
      </c>
      <c r="R18" s="19">
        <v>6197.7</v>
      </c>
      <c r="S18" s="19">
        <v>6197.7</v>
      </c>
      <c r="T18" s="19">
        <v>6197.7</v>
      </c>
      <c r="U18" s="19">
        <v>6197.7</v>
      </c>
      <c r="V18" s="19">
        <v>6197.7</v>
      </c>
      <c r="W18" s="19">
        <v>6197.7</v>
      </c>
    </row>
    <row r="19" spans="1:23" x14ac:dyDescent="0.25">
      <c r="A19" s="18" t="s">
        <v>43</v>
      </c>
      <c r="B19" s="19">
        <v>3020.7</v>
      </c>
      <c r="C19" s="19">
        <v>3296.7</v>
      </c>
      <c r="D19" s="19">
        <v>3423.3</v>
      </c>
      <c r="E19" s="19">
        <v>3590.1</v>
      </c>
      <c r="F19" s="19">
        <v>3720.9</v>
      </c>
      <c r="G19" s="19">
        <v>3945</v>
      </c>
      <c r="H19" s="19">
        <v>4071.6</v>
      </c>
      <c r="I19" s="19">
        <v>4295.7</v>
      </c>
      <c r="J19" s="19">
        <v>4482.6000000000004</v>
      </c>
      <c r="K19" s="19">
        <v>4609.8</v>
      </c>
      <c r="L19" s="19">
        <v>4745.3999999999996</v>
      </c>
      <c r="M19" s="19">
        <v>4797.6000000000004</v>
      </c>
      <c r="N19" s="19">
        <v>4974.3</v>
      </c>
      <c r="O19" s="19">
        <v>5068.8</v>
      </c>
      <c r="P19" s="19">
        <v>5429.1</v>
      </c>
      <c r="Q19" s="19">
        <v>5429.1</v>
      </c>
      <c r="R19" s="19">
        <v>5429.1</v>
      </c>
      <c r="S19" s="19">
        <v>5429.1</v>
      </c>
      <c r="T19" s="19">
        <v>5429.1</v>
      </c>
      <c r="U19" s="19">
        <v>5429.1</v>
      </c>
      <c r="V19" s="19">
        <v>5429.1</v>
      </c>
      <c r="W19" s="19">
        <v>5429.1</v>
      </c>
    </row>
    <row r="20" spans="1:23" x14ac:dyDescent="0.25">
      <c r="A20" s="18" t="s">
        <v>44</v>
      </c>
      <c r="B20" s="19">
        <v>2612.6999999999998</v>
      </c>
      <c r="C20" s="19">
        <v>2875.2</v>
      </c>
      <c r="D20" s="19">
        <v>3002.1</v>
      </c>
      <c r="E20" s="19">
        <v>3125.4</v>
      </c>
      <c r="F20" s="19">
        <v>3254.1</v>
      </c>
      <c r="G20" s="19">
        <v>3543.3</v>
      </c>
      <c r="H20" s="19">
        <v>3656.4</v>
      </c>
      <c r="I20" s="19">
        <v>3874.8</v>
      </c>
      <c r="J20" s="19">
        <v>3941.4</v>
      </c>
      <c r="K20" s="19">
        <v>3990</v>
      </c>
      <c r="L20" s="19">
        <v>4046.7</v>
      </c>
      <c r="M20" s="19">
        <v>4046.7</v>
      </c>
      <c r="N20" s="19">
        <v>4046.7</v>
      </c>
      <c r="O20" s="19">
        <v>4046.7</v>
      </c>
      <c r="P20" s="19">
        <v>4046.7</v>
      </c>
      <c r="Q20" s="19">
        <v>4046.7</v>
      </c>
      <c r="R20" s="19">
        <v>4046.7</v>
      </c>
      <c r="S20" s="19">
        <v>4046.7</v>
      </c>
      <c r="T20" s="19">
        <v>4046.7</v>
      </c>
      <c r="U20" s="19">
        <v>4046.7</v>
      </c>
      <c r="V20" s="19">
        <v>4046.7</v>
      </c>
      <c r="W20" s="19">
        <v>4046.7</v>
      </c>
    </row>
    <row r="21" spans="1:23" x14ac:dyDescent="0.25">
      <c r="A21" s="18" t="s">
        <v>45</v>
      </c>
      <c r="B21" s="19">
        <v>2393.4</v>
      </c>
      <c r="C21" s="19">
        <v>2554.8000000000002</v>
      </c>
      <c r="D21" s="19">
        <v>2678.1</v>
      </c>
      <c r="E21" s="19">
        <v>2804.4</v>
      </c>
      <c r="F21" s="19">
        <v>3001.5</v>
      </c>
      <c r="G21" s="19">
        <v>3207</v>
      </c>
      <c r="H21" s="19">
        <v>3376.2</v>
      </c>
      <c r="I21" s="19">
        <v>3396.6</v>
      </c>
      <c r="J21" s="19">
        <v>3396.6</v>
      </c>
      <c r="K21" s="19">
        <v>3396.6</v>
      </c>
      <c r="L21" s="19">
        <v>3396.6</v>
      </c>
      <c r="M21" s="19">
        <v>3396.6</v>
      </c>
      <c r="N21" s="19">
        <v>3396.6</v>
      </c>
      <c r="O21" s="19">
        <v>3396.6</v>
      </c>
      <c r="P21" s="19">
        <v>3396.6</v>
      </c>
      <c r="Q21" s="19">
        <v>3396.6</v>
      </c>
      <c r="R21" s="19">
        <v>3396.6</v>
      </c>
      <c r="S21" s="19">
        <v>3396.6</v>
      </c>
      <c r="T21" s="19">
        <v>3396.6</v>
      </c>
      <c r="U21" s="19">
        <v>3396.6</v>
      </c>
      <c r="V21" s="19">
        <v>3396.6</v>
      </c>
      <c r="W21" s="19">
        <v>3396.6</v>
      </c>
    </row>
    <row r="22" spans="1:23" x14ac:dyDescent="0.25">
      <c r="A22" s="18" t="s">
        <v>46</v>
      </c>
      <c r="B22" s="19">
        <v>2194.5</v>
      </c>
      <c r="C22" s="19">
        <v>2307</v>
      </c>
      <c r="D22" s="19">
        <v>2431.8000000000002</v>
      </c>
      <c r="E22" s="19">
        <v>2555.4</v>
      </c>
      <c r="F22" s="19">
        <v>2664</v>
      </c>
      <c r="G22" s="19">
        <v>2664</v>
      </c>
      <c r="H22" s="19">
        <v>2664</v>
      </c>
      <c r="I22" s="19">
        <v>2664</v>
      </c>
      <c r="J22" s="19">
        <v>2664</v>
      </c>
      <c r="K22" s="19">
        <v>2664</v>
      </c>
      <c r="L22" s="19">
        <v>2664</v>
      </c>
      <c r="M22" s="19">
        <v>2664</v>
      </c>
      <c r="N22" s="19">
        <v>2664</v>
      </c>
      <c r="O22" s="19">
        <v>2664</v>
      </c>
      <c r="P22" s="19">
        <v>2664</v>
      </c>
      <c r="Q22" s="19">
        <v>2664</v>
      </c>
      <c r="R22" s="19">
        <v>2664</v>
      </c>
      <c r="S22" s="19">
        <v>2664</v>
      </c>
      <c r="T22" s="19">
        <v>2664</v>
      </c>
      <c r="U22" s="19">
        <v>2664</v>
      </c>
      <c r="V22" s="19">
        <v>2664</v>
      </c>
      <c r="W22" s="19">
        <v>2664</v>
      </c>
    </row>
    <row r="23" spans="1:23" x14ac:dyDescent="0.25">
      <c r="A23" s="18" t="s">
        <v>47</v>
      </c>
      <c r="B23" s="19">
        <v>1981.2</v>
      </c>
      <c r="C23" s="19">
        <v>2105.6999999999998</v>
      </c>
      <c r="D23" s="19">
        <v>2233.5</v>
      </c>
      <c r="E23" s="19">
        <v>2233.5</v>
      </c>
      <c r="F23" s="19">
        <v>2233.5</v>
      </c>
      <c r="G23" s="19">
        <v>2233.5</v>
      </c>
      <c r="H23" s="19">
        <v>2233.5</v>
      </c>
      <c r="I23" s="19">
        <v>2233.5</v>
      </c>
      <c r="J23" s="19">
        <v>2233.5</v>
      </c>
      <c r="K23" s="19">
        <v>2233.5</v>
      </c>
      <c r="L23" s="19">
        <v>2233.5</v>
      </c>
      <c r="M23" s="19">
        <v>2233.5</v>
      </c>
      <c r="N23" s="19">
        <v>2233.5</v>
      </c>
      <c r="O23" s="19">
        <v>2233.5</v>
      </c>
      <c r="P23" s="19">
        <v>2233.5</v>
      </c>
      <c r="Q23" s="19">
        <v>2233.5</v>
      </c>
      <c r="R23" s="19">
        <v>2233.5</v>
      </c>
      <c r="S23" s="19">
        <v>2233.5</v>
      </c>
      <c r="T23" s="19">
        <v>2233.5</v>
      </c>
      <c r="U23" s="19">
        <v>2233.5</v>
      </c>
      <c r="V23" s="19">
        <v>2233.5</v>
      </c>
      <c r="W23" s="19">
        <v>2233.5</v>
      </c>
    </row>
    <row r="24" spans="1:23" x14ac:dyDescent="0.25">
      <c r="A24" s="18" t="s">
        <v>48</v>
      </c>
      <c r="B24" s="19">
        <v>1884</v>
      </c>
      <c r="C24" s="19">
        <v>1884</v>
      </c>
      <c r="D24" s="19">
        <v>1884</v>
      </c>
      <c r="E24" s="19">
        <v>1884</v>
      </c>
      <c r="F24" s="19">
        <v>1884</v>
      </c>
      <c r="G24" s="19">
        <v>1884</v>
      </c>
      <c r="H24" s="19">
        <v>1884</v>
      </c>
      <c r="I24" s="19">
        <v>1884</v>
      </c>
      <c r="J24" s="19">
        <v>1884</v>
      </c>
      <c r="K24" s="19">
        <v>1884</v>
      </c>
      <c r="L24" s="19">
        <v>1884</v>
      </c>
      <c r="M24" s="19">
        <v>1884</v>
      </c>
      <c r="N24" s="19">
        <v>1884</v>
      </c>
      <c r="O24" s="19">
        <v>1884</v>
      </c>
      <c r="P24" s="19">
        <v>1884</v>
      </c>
      <c r="Q24" s="19">
        <v>1884</v>
      </c>
      <c r="R24" s="19">
        <v>1884</v>
      </c>
      <c r="S24" s="19">
        <v>1884</v>
      </c>
      <c r="T24" s="19">
        <v>1884</v>
      </c>
      <c r="U24" s="19">
        <v>1884</v>
      </c>
      <c r="V24" s="19">
        <v>1884</v>
      </c>
      <c r="W24" s="19">
        <v>1884</v>
      </c>
    </row>
    <row r="25" spans="1:23" x14ac:dyDescent="0.25">
      <c r="A25" s="18" t="s">
        <v>57</v>
      </c>
      <c r="B25" s="19">
        <v>1680.9</v>
      </c>
      <c r="C25" s="19">
        <v>1680.9</v>
      </c>
      <c r="D25" s="19">
        <v>1680.9</v>
      </c>
      <c r="E25" s="19">
        <v>1680.9</v>
      </c>
      <c r="F25" s="19">
        <v>1680.9</v>
      </c>
      <c r="G25" s="19">
        <v>1680.9</v>
      </c>
      <c r="H25" s="19">
        <v>1680.9</v>
      </c>
      <c r="I25" s="19">
        <v>1680.9</v>
      </c>
      <c r="J25" s="19">
        <v>1680.9</v>
      </c>
      <c r="K25" s="19">
        <v>1680.9</v>
      </c>
      <c r="L25" s="19">
        <v>1680.9</v>
      </c>
      <c r="M25" s="19">
        <v>1680.9</v>
      </c>
      <c r="N25" s="19">
        <v>1680.9</v>
      </c>
      <c r="O25" s="19">
        <v>1680.9</v>
      </c>
      <c r="P25" s="19">
        <v>1680.9</v>
      </c>
      <c r="Q25" s="19">
        <v>1680.9</v>
      </c>
      <c r="R25" s="19">
        <v>1680.9</v>
      </c>
      <c r="S25" s="19">
        <v>1680.9</v>
      </c>
      <c r="T25" s="19">
        <v>1680.9</v>
      </c>
      <c r="U25" s="19">
        <v>1680.9</v>
      </c>
      <c r="V25" s="19">
        <v>1680.9</v>
      </c>
      <c r="W25" s="19">
        <v>1680.9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6C0F-9BA7-4DDE-B56E-3721E04CE324}">
  <dimension ref="A1:W25"/>
  <sheetViews>
    <sheetView workbookViewId="0">
      <selection activeCell="A26" sqref="A26"/>
    </sheetView>
  </sheetViews>
  <sheetFormatPr defaultRowHeight="15" x14ac:dyDescent="0.25"/>
  <cols>
    <col min="1" max="1" width="18.28515625" style="15" bestFit="1" customWidth="1"/>
    <col min="2" max="16384" width="9.140625" style="15"/>
  </cols>
  <sheetData>
    <row r="1" spans="1:23" ht="15.75" thickBot="1" x14ac:dyDescent="0.3">
      <c r="A1" s="16"/>
      <c r="B1" s="16">
        <v>0</v>
      </c>
      <c r="C1" s="16">
        <v>2</v>
      </c>
      <c r="D1" s="16">
        <v>3</v>
      </c>
      <c r="E1" s="16">
        <v>4</v>
      </c>
      <c r="F1" s="16">
        <v>6</v>
      </c>
      <c r="G1" s="16">
        <v>8</v>
      </c>
      <c r="H1" s="16">
        <v>10</v>
      </c>
      <c r="I1" s="16">
        <v>12</v>
      </c>
      <c r="J1" s="16">
        <v>14</v>
      </c>
      <c r="K1" s="16">
        <v>16</v>
      </c>
      <c r="L1" s="16">
        <v>18</v>
      </c>
      <c r="M1" s="16">
        <v>20</v>
      </c>
      <c r="N1" s="16">
        <v>22</v>
      </c>
      <c r="O1" s="16">
        <v>24</v>
      </c>
      <c r="P1" s="16">
        <v>26</v>
      </c>
      <c r="Q1" s="16">
        <v>28</v>
      </c>
      <c r="R1" s="16">
        <v>30</v>
      </c>
      <c r="S1" s="16">
        <v>32</v>
      </c>
      <c r="T1" s="16">
        <v>34</v>
      </c>
      <c r="U1" s="16">
        <v>36</v>
      </c>
      <c r="V1" s="16">
        <v>38</v>
      </c>
      <c r="W1" s="16">
        <v>40</v>
      </c>
    </row>
    <row r="2" spans="1:23" ht="15.75" thickBot="1" x14ac:dyDescent="0.3">
      <c r="A2" s="16" t="s">
        <v>49</v>
      </c>
      <c r="B2" s="28">
        <v>15800.1</v>
      </c>
      <c r="C2" s="28">
        <v>15800.1</v>
      </c>
      <c r="D2" s="28">
        <v>15800.1</v>
      </c>
      <c r="E2" s="28">
        <v>15800.1</v>
      </c>
      <c r="F2" s="28">
        <v>15800.1</v>
      </c>
      <c r="G2" s="28">
        <v>15800.1</v>
      </c>
      <c r="H2" s="28">
        <v>15800.1</v>
      </c>
      <c r="I2" s="28">
        <v>15800.1</v>
      </c>
      <c r="J2" s="28">
        <v>15800.1</v>
      </c>
      <c r="K2" s="28">
        <v>15800.1</v>
      </c>
      <c r="L2" s="28">
        <v>15800.1</v>
      </c>
      <c r="M2" s="28">
        <v>15800.1</v>
      </c>
      <c r="N2" s="28">
        <v>15800.1</v>
      </c>
      <c r="O2" s="28">
        <v>15800.1</v>
      </c>
      <c r="P2" s="28">
        <v>15800.1</v>
      </c>
      <c r="Q2" s="28">
        <v>15800.1</v>
      </c>
      <c r="R2" s="28">
        <v>15800.1</v>
      </c>
      <c r="S2" s="28">
        <v>15800.1</v>
      </c>
      <c r="T2" s="28">
        <v>15800.1</v>
      </c>
      <c r="U2" s="28">
        <v>15800.1</v>
      </c>
      <c r="V2" s="28">
        <v>15800.1</v>
      </c>
      <c r="W2" s="28">
        <v>15800.1</v>
      </c>
    </row>
    <row r="3" spans="1:23" ht="15.75" thickBot="1" x14ac:dyDescent="0.3">
      <c r="A3" s="16" t="s">
        <v>50</v>
      </c>
      <c r="B3" s="28">
        <v>14696.4</v>
      </c>
      <c r="C3" s="28">
        <v>14696.4</v>
      </c>
      <c r="D3" s="28">
        <v>14696.4</v>
      </c>
      <c r="E3" s="28">
        <v>14696.4</v>
      </c>
      <c r="F3" s="28">
        <v>14696.4</v>
      </c>
      <c r="G3" s="28">
        <v>14696.4</v>
      </c>
      <c r="H3" s="28">
        <v>14696.4</v>
      </c>
      <c r="I3" s="28">
        <v>14696.4</v>
      </c>
      <c r="J3" s="28">
        <v>14696.4</v>
      </c>
      <c r="K3" s="28">
        <v>14696.4</v>
      </c>
      <c r="L3" s="28">
        <v>14696.4</v>
      </c>
      <c r="M3" s="28">
        <v>14696.4</v>
      </c>
      <c r="N3" s="28">
        <v>14908.8</v>
      </c>
      <c r="O3" s="28">
        <v>15214.5</v>
      </c>
      <c r="P3" s="28">
        <v>15747.6</v>
      </c>
      <c r="Q3" s="28">
        <v>15747.6</v>
      </c>
      <c r="R3" s="28">
        <v>15800.1</v>
      </c>
      <c r="S3" s="28">
        <v>15800.1</v>
      </c>
      <c r="T3" s="28">
        <v>15800.1</v>
      </c>
      <c r="U3" s="28">
        <v>15800.1</v>
      </c>
      <c r="V3" s="28">
        <v>15800.1</v>
      </c>
      <c r="W3" s="28">
        <v>15800.1</v>
      </c>
    </row>
    <row r="4" spans="1:23" ht="15.75" thickBot="1" x14ac:dyDescent="0.3">
      <c r="A4" s="16" t="s">
        <v>51</v>
      </c>
      <c r="B4" s="26">
        <v>10398.6</v>
      </c>
      <c r="C4" s="26">
        <v>10739.4</v>
      </c>
      <c r="D4" s="26">
        <v>10965.6</v>
      </c>
      <c r="E4" s="26">
        <v>11028.6</v>
      </c>
      <c r="F4" s="26">
        <v>11310.9</v>
      </c>
      <c r="G4" s="26">
        <v>11781.9</v>
      </c>
      <c r="H4" s="28">
        <v>11891.4</v>
      </c>
      <c r="I4" s="28">
        <v>12339</v>
      </c>
      <c r="J4" s="28">
        <v>12467.4</v>
      </c>
      <c r="K4" s="28">
        <v>12852.9</v>
      </c>
      <c r="L4" s="28">
        <v>13410.9</v>
      </c>
      <c r="M4" s="28">
        <v>13925.1</v>
      </c>
      <c r="N4" s="28">
        <v>14268.3</v>
      </c>
      <c r="O4" s="28">
        <v>14268.3</v>
      </c>
      <c r="P4" s="28">
        <v>14268.3</v>
      </c>
      <c r="Q4" s="28">
        <v>14268.3</v>
      </c>
      <c r="R4" s="28">
        <v>14625.6</v>
      </c>
      <c r="S4" s="28">
        <v>14625.6</v>
      </c>
      <c r="T4" s="28">
        <v>14991</v>
      </c>
      <c r="U4" s="28">
        <v>14991</v>
      </c>
      <c r="V4" s="28">
        <v>14991</v>
      </c>
      <c r="W4" s="28">
        <v>14991</v>
      </c>
    </row>
    <row r="5" spans="1:23" ht="15.75" thickBot="1" x14ac:dyDescent="0.3">
      <c r="A5" s="16" t="s">
        <v>52</v>
      </c>
      <c r="B5" s="26">
        <v>8640.6</v>
      </c>
      <c r="C5" s="26">
        <v>9041.7000000000007</v>
      </c>
      <c r="D5" s="26">
        <v>9227.7000000000007</v>
      </c>
      <c r="E5" s="26">
        <v>9375.2999999999993</v>
      </c>
      <c r="F5" s="26">
        <v>9642.6</v>
      </c>
      <c r="G5" s="26">
        <v>9906.9</v>
      </c>
      <c r="H5" s="28">
        <v>10212.299999999999</v>
      </c>
      <c r="I5" s="28">
        <v>10516.8</v>
      </c>
      <c r="J5" s="28">
        <v>10822.2</v>
      </c>
      <c r="K5" s="28">
        <v>11781.9</v>
      </c>
      <c r="L5" s="28">
        <v>12591.9</v>
      </c>
      <c r="M5" s="28">
        <v>12591.9</v>
      </c>
      <c r="N5" s="28">
        <v>12591.9</v>
      </c>
      <c r="O5" s="28">
        <v>12591.9</v>
      </c>
      <c r="P5" s="28">
        <v>12656.4</v>
      </c>
      <c r="Q5" s="28">
        <v>12656.4</v>
      </c>
      <c r="R5" s="28">
        <v>12909.6</v>
      </c>
      <c r="S5" s="28">
        <v>12909.6</v>
      </c>
      <c r="T5" s="28">
        <v>12909.6</v>
      </c>
      <c r="U5" s="28">
        <v>12909.6</v>
      </c>
      <c r="V5" s="28">
        <v>12909.6</v>
      </c>
      <c r="W5" s="28">
        <v>12909.6</v>
      </c>
    </row>
    <row r="6" spans="1:23" ht="15.75" thickBot="1" x14ac:dyDescent="0.3">
      <c r="A6" s="16" t="s">
        <v>53</v>
      </c>
      <c r="B6" s="26">
        <v>6552.3</v>
      </c>
      <c r="C6" s="26">
        <v>7198.5</v>
      </c>
      <c r="D6" s="26">
        <v>7671</v>
      </c>
      <c r="E6" s="26">
        <v>7671</v>
      </c>
      <c r="F6" s="26">
        <v>7700.4</v>
      </c>
      <c r="G6" s="26">
        <v>8030.4</v>
      </c>
      <c r="H6" s="28">
        <v>8073.9</v>
      </c>
      <c r="I6" s="28">
        <v>8073.9</v>
      </c>
      <c r="J6" s="28">
        <v>8532.6</v>
      </c>
      <c r="K6" s="28">
        <v>9343.7999999999993</v>
      </c>
      <c r="L6" s="28">
        <v>9819.9</v>
      </c>
      <c r="M6" s="28">
        <v>10295.700000000001</v>
      </c>
      <c r="N6" s="28">
        <v>10566.6</v>
      </c>
      <c r="O6" s="28">
        <v>10841.1</v>
      </c>
      <c r="P6" s="28">
        <v>11372.4</v>
      </c>
      <c r="Q6" s="28">
        <v>11372.4</v>
      </c>
      <c r="R6" s="28">
        <v>11599.8</v>
      </c>
      <c r="S6" s="28">
        <v>11599.8</v>
      </c>
      <c r="T6" s="28">
        <v>11599.8</v>
      </c>
      <c r="U6" s="28">
        <v>11599.8</v>
      </c>
      <c r="V6" s="28">
        <v>11599.8</v>
      </c>
      <c r="W6" s="28">
        <v>11599.8</v>
      </c>
    </row>
    <row r="7" spans="1:23" ht="15.75" thickBot="1" x14ac:dyDescent="0.3">
      <c r="A7" s="16" t="s">
        <v>34</v>
      </c>
      <c r="B7" s="26">
        <v>5462.4</v>
      </c>
      <c r="C7" s="26">
        <v>6153.6</v>
      </c>
      <c r="D7" s="26">
        <v>6579</v>
      </c>
      <c r="E7" s="26">
        <v>6659.4</v>
      </c>
      <c r="F7" s="26">
        <v>6925.5</v>
      </c>
      <c r="G7" s="26">
        <v>7084.2</v>
      </c>
      <c r="H7" s="28">
        <v>7434</v>
      </c>
      <c r="I7" s="28">
        <v>7690.8</v>
      </c>
      <c r="J7" s="28">
        <v>8022.3</v>
      </c>
      <c r="K7" s="28">
        <v>8529.6</v>
      </c>
      <c r="L7" s="28">
        <v>8770.5</v>
      </c>
      <c r="M7" s="28">
        <v>9009.2999999999993</v>
      </c>
      <c r="N7" s="28">
        <v>9280.2000000000007</v>
      </c>
      <c r="O7" s="28">
        <v>9280.2000000000007</v>
      </c>
      <c r="P7" s="28">
        <v>9280.2000000000007</v>
      </c>
      <c r="Q7" s="28">
        <v>9280.2000000000007</v>
      </c>
      <c r="R7" s="28">
        <v>9280.2000000000007</v>
      </c>
      <c r="S7" s="28">
        <v>9280.2000000000007</v>
      </c>
      <c r="T7" s="28">
        <v>9280.2000000000007</v>
      </c>
      <c r="U7" s="28">
        <v>9280.2000000000007</v>
      </c>
      <c r="V7" s="28">
        <v>9280.2000000000007</v>
      </c>
      <c r="W7" s="28">
        <v>9280.2000000000007</v>
      </c>
    </row>
    <row r="8" spans="1:23" ht="15.75" thickBot="1" x14ac:dyDescent="0.3">
      <c r="A8" s="16" t="s">
        <v>35</v>
      </c>
      <c r="B8" s="26">
        <v>4713</v>
      </c>
      <c r="C8" s="26">
        <v>5455.5</v>
      </c>
      <c r="D8" s="26">
        <v>5820</v>
      </c>
      <c r="E8" s="26">
        <v>5900.7</v>
      </c>
      <c r="F8" s="26">
        <v>6238.5</v>
      </c>
      <c r="G8" s="26">
        <v>6601.2</v>
      </c>
      <c r="H8" s="28">
        <v>7052.7</v>
      </c>
      <c r="I8" s="28">
        <v>7403.7</v>
      </c>
      <c r="J8" s="28">
        <v>7647.6</v>
      </c>
      <c r="K8" s="28">
        <v>7788</v>
      </c>
      <c r="L8" s="28">
        <v>7869.3</v>
      </c>
      <c r="M8" s="28">
        <v>7869.3</v>
      </c>
      <c r="N8" s="28">
        <v>7869.3</v>
      </c>
      <c r="O8" s="28">
        <v>7869.3</v>
      </c>
      <c r="P8" s="28">
        <v>7869.3</v>
      </c>
      <c r="Q8" s="28">
        <v>7869.3</v>
      </c>
      <c r="R8" s="28">
        <v>7869.3</v>
      </c>
      <c r="S8" s="28">
        <v>7869.3</v>
      </c>
      <c r="T8" s="28">
        <v>7869.3</v>
      </c>
      <c r="U8" s="28">
        <v>7869.3</v>
      </c>
      <c r="V8" s="28">
        <v>7869.3</v>
      </c>
      <c r="W8" s="28">
        <v>7869.3</v>
      </c>
    </row>
    <row r="9" spans="1:23" ht="15.75" thickBot="1" x14ac:dyDescent="0.3">
      <c r="A9" s="16" t="s">
        <v>54</v>
      </c>
      <c r="B9" s="26">
        <v>4143.8999999999996</v>
      </c>
      <c r="C9" s="26">
        <v>4697.1000000000004</v>
      </c>
      <c r="D9" s="26">
        <v>5069.7</v>
      </c>
      <c r="E9" s="26">
        <v>5527.8</v>
      </c>
      <c r="F9" s="26">
        <v>5793</v>
      </c>
      <c r="G9" s="26">
        <v>6083.4</v>
      </c>
      <c r="H9" s="28">
        <v>6271.2</v>
      </c>
      <c r="I9" s="28">
        <v>6580.2</v>
      </c>
      <c r="J9" s="28">
        <v>6741.6</v>
      </c>
      <c r="K9" s="28">
        <v>6741.6</v>
      </c>
      <c r="L9" s="28">
        <v>6741.6</v>
      </c>
      <c r="M9" s="28">
        <v>6741.6</v>
      </c>
      <c r="N9" s="28">
        <v>6741.6</v>
      </c>
      <c r="O9" s="28">
        <v>6741.6</v>
      </c>
      <c r="P9" s="28">
        <v>6741.6</v>
      </c>
      <c r="Q9" s="28">
        <v>6741.6</v>
      </c>
      <c r="R9" s="28">
        <v>6741.6</v>
      </c>
      <c r="S9" s="28">
        <v>6741.6</v>
      </c>
      <c r="T9" s="28">
        <v>6741.6</v>
      </c>
      <c r="U9" s="28">
        <v>6741.6</v>
      </c>
      <c r="V9" s="28">
        <v>6741.6</v>
      </c>
      <c r="W9" s="28">
        <v>6741.6</v>
      </c>
    </row>
    <row r="10" spans="1:23" ht="15.75" thickBot="1" x14ac:dyDescent="0.3">
      <c r="A10" s="16" t="s">
        <v>55</v>
      </c>
      <c r="B10" s="26">
        <v>3580.5</v>
      </c>
      <c r="C10" s="26">
        <v>4077.9</v>
      </c>
      <c r="D10" s="26">
        <v>4696.2</v>
      </c>
      <c r="E10" s="26">
        <v>4854.8999999999996</v>
      </c>
      <c r="F10" s="26">
        <v>4955.1000000000004</v>
      </c>
      <c r="G10" s="26">
        <v>4955.1000000000004</v>
      </c>
      <c r="H10" s="28">
        <v>4955.1000000000004</v>
      </c>
      <c r="I10" s="28">
        <v>4955.1000000000004</v>
      </c>
      <c r="J10" s="28">
        <v>4955.1000000000004</v>
      </c>
      <c r="K10" s="28">
        <v>4955.1000000000004</v>
      </c>
      <c r="L10" s="28">
        <v>4955.1000000000004</v>
      </c>
      <c r="M10" s="28">
        <v>4955.1000000000004</v>
      </c>
      <c r="N10" s="28">
        <v>4955.1000000000004</v>
      </c>
      <c r="O10" s="28">
        <v>4955.1000000000004</v>
      </c>
      <c r="P10" s="28">
        <v>4955.1000000000004</v>
      </c>
      <c r="Q10" s="28">
        <v>4955.1000000000004</v>
      </c>
      <c r="R10" s="28">
        <v>4955.1000000000004</v>
      </c>
      <c r="S10" s="28">
        <v>4955.1000000000004</v>
      </c>
      <c r="T10" s="28">
        <v>4955.1000000000004</v>
      </c>
      <c r="U10" s="28">
        <v>4955.1000000000004</v>
      </c>
      <c r="V10" s="28">
        <v>4955.1000000000004</v>
      </c>
      <c r="W10" s="28">
        <v>4955.1000000000004</v>
      </c>
    </row>
    <row r="11" spans="1:23" ht="15.75" thickBot="1" x14ac:dyDescent="0.3">
      <c r="A11" s="16" t="s">
        <v>56</v>
      </c>
      <c r="B11" s="26">
        <v>3107.7</v>
      </c>
      <c r="C11" s="26">
        <v>3234.9</v>
      </c>
      <c r="D11" s="26">
        <v>3910.2</v>
      </c>
      <c r="E11" s="26" t="s">
        <v>100</v>
      </c>
      <c r="F11" s="26" t="s">
        <v>101</v>
      </c>
      <c r="G11" s="26" t="s">
        <v>102</v>
      </c>
      <c r="H11" s="28" t="s">
        <v>103</v>
      </c>
      <c r="I11" s="28" t="s">
        <v>65</v>
      </c>
      <c r="J11" s="28" t="s">
        <v>66</v>
      </c>
      <c r="K11" s="28" t="s">
        <v>67</v>
      </c>
      <c r="L11" s="28" t="s">
        <v>68</v>
      </c>
      <c r="M11" s="28" t="s">
        <v>69</v>
      </c>
      <c r="N11" s="28" t="s">
        <v>70</v>
      </c>
      <c r="O11" s="28" t="s">
        <v>71</v>
      </c>
      <c r="P11" s="28" t="s">
        <v>72</v>
      </c>
      <c r="Q11" s="28" t="s">
        <v>73</v>
      </c>
      <c r="R11" s="28" t="s">
        <v>74</v>
      </c>
      <c r="S11" s="28" t="s">
        <v>75</v>
      </c>
      <c r="T11" s="28" t="s">
        <v>76</v>
      </c>
      <c r="U11" s="28" t="s">
        <v>77</v>
      </c>
      <c r="V11" s="28" t="s">
        <v>78</v>
      </c>
      <c r="W11" s="28" t="s">
        <v>79</v>
      </c>
    </row>
    <row r="12" spans="1:23" ht="15.75" thickBot="1" x14ac:dyDescent="0.3">
      <c r="A12" s="18" t="s">
        <v>36</v>
      </c>
      <c r="B12" s="28">
        <v>7614.6</v>
      </c>
      <c r="C12" s="28">
        <v>7614.6</v>
      </c>
      <c r="D12" s="28">
        <v>7614.6</v>
      </c>
      <c r="E12" s="28">
        <v>7614.6</v>
      </c>
      <c r="F12" s="28">
        <v>7614.6</v>
      </c>
      <c r="G12" s="28">
        <v>7614.6</v>
      </c>
      <c r="H12" s="28">
        <v>7614.6</v>
      </c>
      <c r="I12" s="28">
        <v>7614.6</v>
      </c>
      <c r="J12" s="28">
        <v>7614.6</v>
      </c>
      <c r="K12" s="28">
        <v>7614.6</v>
      </c>
      <c r="L12" s="28">
        <v>7614.6</v>
      </c>
      <c r="M12" s="28">
        <v>7614.6</v>
      </c>
      <c r="N12" s="28">
        <v>8000.7</v>
      </c>
      <c r="O12" s="28">
        <v>8288.4</v>
      </c>
      <c r="P12" s="28">
        <v>8606.7000000000007</v>
      </c>
      <c r="Q12" s="28">
        <v>8606.7000000000007</v>
      </c>
      <c r="R12" s="28">
        <v>9037.7999999999993</v>
      </c>
      <c r="S12" s="28">
        <v>9037.7999999999993</v>
      </c>
      <c r="T12" s="28">
        <v>9489</v>
      </c>
      <c r="U12" s="28">
        <v>9489</v>
      </c>
      <c r="V12" s="28">
        <v>9964.2000000000007</v>
      </c>
      <c r="W12" s="28">
        <v>9964.2000000000007</v>
      </c>
    </row>
    <row r="13" spans="1:23" ht="15.75" thickBot="1" x14ac:dyDescent="0.3">
      <c r="A13" s="18" t="s">
        <v>37</v>
      </c>
      <c r="B13" s="27">
        <v>4282.5</v>
      </c>
      <c r="C13" s="28">
        <v>4606.5</v>
      </c>
      <c r="D13" s="28">
        <v>4738.5</v>
      </c>
      <c r="E13" s="28">
        <v>4868.7</v>
      </c>
      <c r="F13" s="28">
        <v>5092.8</v>
      </c>
      <c r="G13" s="28">
        <v>5314.5</v>
      </c>
      <c r="H13" s="28">
        <v>5539.2</v>
      </c>
      <c r="I13" s="28">
        <v>5876.4</v>
      </c>
      <c r="J13" s="28">
        <v>6172.5</v>
      </c>
      <c r="K13" s="28">
        <v>6454.2</v>
      </c>
      <c r="L13" s="28">
        <v>6684.9</v>
      </c>
      <c r="M13" s="28">
        <v>6909.6</v>
      </c>
      <c r="N13" s="28">
        <v>7239.9</v>
      </c>
      <c r="O13" s="28">
        <v>7511.1</v>
      </c>
      <c r="P13" s="28">
        <v>7820.7</v>
      </c>
      <c r="Q13" s="28">
        <v>7820.7</v>
      </c>
      <c r="R13" s="28">
        <v>7976.7</v>
      </c>
      <c r="S13" s="28">
        <v>7976.7</v>
      </c>
      <c r="T13" s="28">
        <v>7976.7</v>
      </c>
      <c r="U13" s="28">
        <v>7976.7</v>
      </c>
      <c r="V13" s="28">
        <v>7976.7</v>
      </c>
      <c r="W13" s="28">
        <v>7976.7</v>
      </c>
    </row>
    <row r="14" spans="1:23" ht="15.75" thickBot="1" x14ac:dyDescent="0.3">
      <c r="A14" s="18" t="s">
        <v>38</v>
      </c>
      <c r="B14" s="27">
        <v>3910.8</v>
      </c>
      <c r="C14" s="27">
        <v>4073.7</v>
      </c>
      <c r="D14" s="27">
        <v>4240.8</v>
      </c>
      <c r="E14" s="27">
        <v>4296</v>
      </c>
      <c r="F14" s="27">
        <v>4470.6000000000004</v>
      </c>
      <c r="G14" s="27">
        <v>4815.3</v>
      </c>
      <c r="H14" s="28">
        <v>5174.1000000000004</v>
      </c>
      <c r="I14" s="28">
        <v>5343.3</v>
      </c>
      <c r="J14" s="28">
        <v>5538.9</v>
      </c>
      <c r="K14" s="28">
        <v>5739.9</v>
      </c>
      <c r="L14" s="28">
        <v>6102.3</v>
      </c>
      <c r="M14" s="28">
        <v>6346.8</v>
      </c>
      <c r="N14" s="28">
        <v>6492.9</v>
      </c>
      <c r="O14" s="28">
        <v>6648.3</v>
      </c>
      <c r="P14" s="28">
        <v>6860.1</v>
      </c>
      <c r="Q14" s="28">
        <v>6860.1</v>
      </c>
      <c r="R14" s="28">
        <v>6860.1</v>
      </c>
      <c r="S14" s="28">
        <v>6860.1</v>
      </c>
      <c r="T14" s="28">
        <v>6860.1</v>
      </c>
      <c r="U14" s="28">
        <v>6860.1</v>
      </c>
      <c r="V14" s="28">
        <v>6860.1</v>
      </c>
      <c r="W14" s="28">
        <v>6860.1</v>
      </c>
    </row>
    <row r="15" spans="1:23" ht="15.75" thickBot="1" x14ac:dyDescent="0.3">
      <c r="A15" s="18" t="s">
        <v>39</v>
      </c>
      <c r="B15" s="27">
        <v>3460.5</v>
      </c>
      <c r="C15" s="27">
        <v>3787.8</v>
      </c>
      <c r="D15" s="27">
        <v>3888.6</v>
      </c>
      <c r="E15" s="27">
        <v>3957.6</v>
      </c>
      <c r="F15" s="27">
        <v>4182.3</v>
      </c>
      <c r="G15" s="27">
        <v>4530.8999999999996</v>
      </c>
      <c r="H15" s="28">
        <v>4703.7</v>
      </c>
      <c r="I15" s="28">
        <v>4873.8</v>
      </c>
      <c r="J15" s="28">
        <v>5082</v>
      </c>
      <c r="K15" s="28">
        <v>5244.6</v>
      </c>
      <c r="L15" s="28">
        <v>5391.9</v>
      </c>
      <c r="M15" s="28">
        <v>5568.3</v>
      </c>
      <c r="N15" s="28">
        <v>5684.1</v>
      </c>
      <c r="O15" s="28">
        <v>5775.9</v>
      </c>
      <c r="P15" s="28">
        <v>5775.9</v>
      </c>
      <c r="Q15" s="28">
        <v>5775.9</v>
      </c>
      <c r="R15" s="28">
        <v>5775.9</v>
      </c>
      <c r="S15" s="28">
        <v>5775.9</v>
      </c>
      <c r="T15" s="28">
        <v>5775.9</v>
      </c>
      <c r="U15" s="28">
        <v>5775.9</v>
      </c>
      <c r="V15" s="28">
        <v>5775.9</v>
      </c>
      <c r="W15" s="28">
        <v>5775.9</v>
      </c>
    </row>
    <row r="16" spans="1:23" ht="15.75" thickBot="1" x14ac:dyDescent="0.3">
      <c r="A16" s="18" t="s">
        <v>40</v>
      </c>
      <c r="B16" s="27">
        <v>3037.5</v>
      </c>
      <c r="C16" s="27">
        <v>3364.5</v>
      </c>
      <c r="D16" s="27">
        <v>3452.4</v>
      </c>
      <c r="E16" s="27">
        <v>3638.1</v>
      </c>
      <c r="F16" s="27">
        <v>3857.7</v>
      </c>
      <c r="G16" s="27">
        <v>4181.7</v>
      </c>
      <c r="H16" s="28">
        <v>4332.6000000000004</v>
      </c>
      <c r="I16" s="28">
        <v>4543.8</v>
      </c>
      <c r="J16" s="28">
        <v>4751.7</v>
      </c>
      <c r="K16" s="28">
        <v>4915.5</v>
      </c>
      <c r="L16" s="28">
        <v>5065.8</v>
      </c>
      <c r="M16" s="28">
        <v>5248.8</v>
      </c>
      <c r="N16" s="28">
        <v>5248.8</v>
      </c>
      <c r="O16" s="28">
        <v>5248.8</v>
      </c>
      <c r="P16" s="28">
        <v>5248.8</v>
      </c>
      <c r="Q16" s="28">
        <v>5248.8</v>
      </c>
      <c r="R16" s="28">
        <v>5248.8</v>
      </c>
      <c r="S16" s="28">
        <v>5248.8</v>
      </c>
      <c r="T16" s="28">
        <v>5248.8</v>
      </c>
      <c r="U16" s="28">
        <v>5248.8</v>
      </c>
      <c r="V16" s="28">
        <v>5248.8</v>
      </c>
      <c r="W16" s="28">
        <v>5248.8</v>
      </c>
    </row>
    <row r="17" spans="1:23" ht="15.75" thickBot="1" x14ac:dyDescent="0.3">
      <c r="A17" s="18" t="s">
        <v>41</v>
      </c>
      <c r="B17" s="28">
        <v>5173.8</v>
      </c>
      <c r="C17" s="28">
        <v>5173.8</v>
      </c>
      <c r="D17" s="28">
        <v>5173.8</v>
      </c>
      <c r="E17" s="28">
        <v>5173.8</v>
      </c>
      <c r="F17" s="28">
        <v>5173.8</v>
      </c>
      <c r="G17" s="28">
        <v>5173.8</v>
      </c>
      <c r="H17" s="28">
        <v>5173.8</v>
      </c>
      <c r="I17" s="28">
        <v>5290.8</v>
      </c>
      <c r="J17" s="28">
        <v>5439</v>
      </c>
      <c r="K17" s="28">
        <v>5612.4</v>
      </c>
      <c r="L17" s="28">
        <v>5788.2</v>
      </c>
      <c r="M17" s="28">
        <v>6068.7</v>
      </c>
      <c r="N17" s="28">
        <v>6306.6</v>
      </c>
      <c r="O17" s="28">
        <v>6556.2</v>
      </c>
      <c r="P17" s="28">
        <v>6939</v>
      </c>
      <c r="Q17" s="28">
        <v>6939</v>
      </c>
      <c r="R17" s="28">
        <v>7285.5</v>
      </c>
      <c r="S17" s="28">
        <v>7285.5</v>
      </c>
      <c r="T17" s="28">
        <v>7650</v>
      </c>
      <c r="U17" s="28">
        <v>7650</v>
      </c>
      <c r="V17" s="28">
        <v>8033.1</v>
      </c>
      <c r="W17" s="28">
        <v>8033.1</v>
      </c>
    </row>
    <row r="18" spans="1:23" ht="15.75" thickBot="1" x14ac:dyDescent="0.3">
      <c r="A18" s="18" t="s">
        <v>42</v>
      </c>
      <c r="B18" s="28">
        <v>4235.3999999999996</v>
      </c>
      <c r="C18" s="28">
        <v>4235.3999999999996</v>
      </c>
      <c r="D18" s="28">
        <v>4235.3999999999996</v>
      </c>
      <c r="E18" s="28">
        <v>4235.3999999999996</v>
      </c>
      <c r="F18" s="28">
        <v>4235.3999999999996</v>
      </c>
      <c r="G18" s="28">
        <v>4235.3999999999996</v>
      </c>
      <c r="H18" s="28">
        <v>4422.6000000000004</v>
      </c>
      <c r="I18" s="28">
        <v>4538.7</v>
      </c>
      <c r="J18" s="28">
        <v>4677.3</v>
      </c>
      <c r="K18" s="28">
        <v>4828.2</v>
      </c>
      <c r="L18" s="28">
        <v>5099.7</v>
      </c>
      <c r="M18" s="28">
        <v>5237.3999999999996</v>
      </c>
      <c r="N18" s="28">
        <v>5471.7</v>
      </c>
      <c r="O18" s="28">
        <v>5601.9</v>
      </c>
      <c r="P18" s="28">
        <v>5921.7</v>
      </c>
      <c r="Q18" s="28">
        <v>5921.7</v>
      </c>
      <c r="R18" s="28">
        <v>6040.5</v>
      </c>
      <c r="S18" s="28">
        <v>6040.5</v>
      </c>
      <c r="T18" s="28">
        <v>6040.5</v>
      </c>
      <c r="U18" s="28">
        <v>6040.5</v>
      </c>
      <c r="V18" s="28">
        <v>6040.5</v>
      </c>
      <c r="W18" s="28">
        <v>6040.5</v>
      </c>
    </row>
    <row r="19" spans="1:23" ht="15.75" thickBot="1" x14ac:dyDescent="0.3">
      <c r="A19" s="18" t="s">
        <v>43</v>
      </c>
      <c r="B19" s="28">
        <v>2944.2</v>
      </c>
      <c r="C19" s="28">
        <v>3213.3</v>
      </c>
      <c r="D19" s="28">
        <v>3336.6</v>
      </c>
      <c r="E19" s="28">
        <v>3499.2</v>
      </c>
      <c r="F19" s="28">
        <v>3626.7</v>
      </c>
      <c r="G19" s="28">
        <v>3845.1</v>
      </c>
      <c r="H19" s="28">
        <v>3968.4</v>
      </c>
      <c r="I19" s="28">
        <v>4186.8</v>
      </c>
      <c r="J19" s="28">
        <v>4368.8999999999996</v>
      </c>
      <c r="K19" s="28">
        <v>4493.1000000000004</v>
      </c>
      <c r="L19" s="28">
        <v>4625.1000000000004</v>
      </c>
      <c r="M19" s="28">
        <v>4676.1000000000004</v>
      </c>
      <c r="N19" s="28">
        <v>4848.3</v>
      </c>
      <c r="O19" s="28">
        <v>4940.3999999999996</v>
      </c>
      <c r="P19" s="28">
        <v>5291.4</v>
      </c>
      <c r="Q19" s="28">
        <v>5291.4</v>
      </c>
      <c r="R19" s="28">
        <v>5291.4</v>
      </c>
      <c r="S19" s="28">
        <v>5291.4</v>
      </c>
      <c r="T19" s="28">
        <v>5291.4</v>
      </c>
      <c r="U19" s="28">
        <v>5291.4</v>
      </c>
      <c r="V19" s="28">
        <v>5291.4</v>
      </c>
      <c r="W19" s="28">
        <v>5291.4</v>
      </c>
    </row>
    <row r="20" spans="1:23" ht="15.75" thickBot="1" x14ac:dyDescent="0.3">
      <c r="A20" s="18" t="s">
        <v>44</v>
      </c>
      <c r="B20" s="28">
        <v>2546.4</v>
      </c>
      <c r="C20" s="28">
        <v>2802.3</v>
      </c>
      <c r="D20" s="28">
        <v>2925.9</v>
      </c>
      <c r="E20" s="28">
        <v>3046.2</v>
      </c>
      <c r="F20" s="28">
        <v>3171.6</v>
      </c>
      <c r="G20" s="28">
        <v>3453.6</v>
      </c>
      <c r="H20" s="28">
        <v>3563.7</v>
      </c>
      <c r="I20" s="28">
        <v>3776.7</v>
      </c>
      <c r="J20" s="28">
        <v>3841.5</v>
      </c>
      <c r="K20" s="28">
        <v>3888.9</v>
      </c>
      <c r="L20" s="28">
        <v>3944.1</v>
      </c>
      <c r="M20" s="28">
        <v>3944.1</v>
      </c>
      <c r="N20" s="28">
        <v>3944.1</v>
      </c>
      <c r="O20" s="28">
        <v>3944.1</v>
      </c>
      <c r="P20" s="28">
        <v>3944.1</v>
      </c>
      <c r="Q20" s="28">
        <v>3944.1</v>
      </c>
      <c r="R20" s="28">
        <v>3944.1</v>
      </c>
      <c r="S20" s="28">
        <v>3944.1</v>
      </c>
      <c r="T20" s="28">
        <v>3944.1</v>
      </c>
      <c r="U20" s="28">
        <v>3944.1</v>
      </c>
      <c r="V20" s="28">
        <v>3944.1</v>
      </c>
      <c r="W20" s="28">
        <v>3944.1</v>
      </c>
    </row>
    <row r="21" spans="1:23" ht="15.75" thickBot="1" x14ac:dyDescent="0.3">
      <c r="A21" s="18" t="s">
        <v>45</v>
      </c>
      <c r="B21" s="28">
        <v>2332.8000000000002</v>
      </c>
      <c r="C21" s="28">
        <v>2490</v>
      </c>
      <c r="D21" s="28">
        <v>2610.3000000000002</v>
      </c>
      <c r="E21" s="28">
        <v>2733.3</v>
      </c>
      <c r="F21" s="28">
        <v>2925.3</v>
      </c>
      <c r="G21" s="28">
        <v>3125.7</v>
      </c>
      <c r="H21" s="28">
        <v>3290.7</v>
      </c>
      <c r="I21" s="28">
        <v>3310.5</v>
      </c>
      <c r="J21" s="28">
        <v>3310.5</v>
      </c>
      <c r="K21" s="28">
        <v>3310.5</v>
      </c>
      <c r="L21" s="28">
        <v>3310.5</v>
      </c>
      <c r="M21" s="28">
        <v>3310.5</v>
      </c>
      <c r="N21" s="28">
        <v>3310.5</v>
      </c>
      <c r="O21" s="28">
        <v>3310.5</v>
      </c>
      <c r="P21" s="28">
        <v>3310.5</v>
      </c>
      <c r="Q21" s="28">
        <v>3310.5</v>
      </c>
      <c r="R21" s="28">
        <v>3310.5</v>
      </c>
      <c r="S21" s="28">
        <v>3310.5</v>
      </c>
      <c r="T21" s="28">
        <v>3310.5</v>
      </c>
      <c r="U21" s="28">
        <v>3310.5</v>
      </c>
      <c r="V21" s="28">
        <v>3310.5</v>
      </c>
      <c r="W21" s="28">
        <v>3310.5</v>
      </c>
    </row>
    <row r="22" spans="1:23" ht="15.75" thickBot="1" x14ac:dyDescent="0.3">
      <c r="A22" s="18" t="s">
        <v>46</v>
      </c>
      <c r="B22" s="28">
        <v>2139</v>
      </c>
      <c r="C22" s="28">
        <v>2248.5</v>
      </c>
      <c r="D22" s="28">
        <v>2370.3000000000002</v>
      </c>
      <c r="E22" s="28">
        <v>2490.6</v>
      </c>
      <c r="F22" s="28">
        <v>2596.5</v>
      </c>
      <c r="G22" s="28">
        <v>2596.5</v>
      </c>
      <c r="H22" s="28">
        <v>2596.5</v>
      </c>
      <c r="I22" s="28">
        <v>2596.5</v>
      </c>
      <c r="J22" s="28">
        <v>2596.5</v>
      </c>
      <c r="K22" s="28">
        <v>2596.5</v>
      </c>
      <c r="L22" s="28">
        <v>2596.5</v>
      </c>
      <c r="M22" s="28">
        <v>2596.5</v>
      </c>
      <c r="N22" s="28">
        <v>2596.5</v>
      </c>
      <c r="O22" s="28">
        <v>2596.5</v>
      </c>
      <c r="P22" s="28">
        <v>2596.5</v>
      </c>
      <c r="Q22" s="28">
        <v>2596.5</v>
      </c>
      <c r="R22" s="28">
        <v>2596.5</v>
      </c>
      <c r="S22" s="28">
        <v>2596.5</v>
      </c>
      <c r="T22" s="28">
        <v>2596.5</v>
      </c>
      <c r="U22" s="28">
        <v>2596.5</v>
      </c>
      <c r="V22" s="28">
        <v>2596.5</v>
      </c>
      <c r="W22" s="28">
        <v>2596.5</v>
      </c>
    </row>
    <row r="23" spans="1:23" ht="15.75" thickBot="1" x14ac:dyDescent="0.3">
      <c r="A23" s="18" t="s">
        <v>47</v>
      </c>
      <c r="B23" s="28">
        <v>1931.1</v>
      </c>
      <c r="C23" s="28">
        <v>2052.3000000000002</v>
      </c>
      <c r="D23" s="28">
        <v>2176.8000000000002</v>
      </c>
      <c r="E23" s="28">
        <v>2176.8000000000002</v>
      </c>
      <c r="F23" s="28">
        <v>2176.8000000000002</v>
      </c>
      <c r="G23" s="28">
        <v>2176.8000000000002</v>
      </c>
      <c r="H23" s="28">
        <v>2176.8000000000002</v>
      </c>
      <c r="I23" s="28">
        <v>2176.8000000000002</v>
      </c>
      <c r="J23" s="28">
        <v>2176.8000000000002</v>
      </c>
      <c r="K23" s="28">
        <v>2176.8000000000002</v>
      </c>
      <c r="L23" s="28">
        <v>2176.8000000000002</v>
      </c>
      <c r="M23" s="28">
        <v>2176.8000000000002</v>
      </c>
      <c r="N23" s="28">
        <v>2176.8000000000002</v>
      </c>
      <c r="O23" s="28">
        <v>2176.8000000000002</v>
      </c>
      <c r="P23" s="28">
        <v>2176.8000000000002</v>
      </c>
      <c r="Q23" s="28">
        <v>2176.8000000000002</v>
      </c>
      <c r="R23" s="28">
        <v>2176.8000000000002</v>
      </c>
      <c r="S23" s="28">
        <v>2176.8000000000002</v>
      </c>
      <c r="T23" s="28">
        <v>2176.8000000000002</v>
      </c>
      <c r="U23" s="28">
        <v>2176.8000000000002</v>
      </c>
      <c r="V23" s="28">
        <v>2176.8000000000002</v>
      </c>
      <c r="W23" s="28">
        <v>2176.8000000000002</v>
      </c>
    </row>
    <row r="24" spans="1:23" ht="15.75" thickBot="1" x14ac:dyDescent="0.3">
      <c r="A24" s="18" t="s">
        <v>48</v>
      </c>
      <c r="B24" s="28">
        <v>1836.3</v>
      </c>
      <c r="C24" s="28">
        <v>1836.3</v>
      </c>
      <c r="D24" s="28">
        <v>1836.3</v>
      </c>
      <c r="E24" s="28">
        <v>1836.3</v>
      </c>
      <c r="F24" s="28">
        <v>1836.3</v>
      </c>
      <c r="G24" s="28">
        <v>1836.3</v>
      </c>
      <c r="H24" s="28">
        <v>1836.3</v>
      </c>
      <c r="I24" s="28">
        <v>1836.3</v>
      </c>
      <c r="J24" s="28">
        <v>1836.3</v>
      </c>
      <c r="K24" s="28">
        <v>1836.3</v>
      </c>
      <c r="L24" s="28">
        <v>1836.3</v>
      </c>
      <c r="M24" s="28">
        <v>1836.3</v>
      </c>
      <c r="N24" s="28">
        <v>1836.3</v>
      </c>
      <c r="O24" s="28">
        <v>1836.3</v>
      </c>
      <c r="P24" s="28">
        <v>1836.3</v>
      </c>
      <c r="Q24" s="28">
        <v>1836.3</v>
      </c>
      <c r="R24" s="28">
        <v>1836.3</v>
      </c>
      <c r="S24" s="28">
        <v>1836.3</v>
      </c>
      <c r="T24" s="28">
        <v>1836.3</v>
      </c>
      <c r="U24" s="28">
        <v>1836.3</v>
      </c>
      <c r="V24" s="28">
        <v>1836.3</v>
      </c>
      <c r="W24" s="28">
        <v>1836.3</v>
      </c>
    </row>
    <row r="25" spans="1:23" ht="15.75" thickBot="1" x14ac:dyDescent="0.3">
      <c r="A25" s="18" t="s">
        <v>57</v>
      </c>
      <c r="B25" s="28">
        <v>1638.3</v>
      </c>
      <c r="C25" s="28">
        <v>1638.3</v>
      </c>
      <c r="D25" s="28">
        <v>1638.3</v>
      </c>
      <c r="E25" s="28">
        <v>1638.3</v>
      </c>
      <c r="F25" s="28">
        <v>1638.3</v>
      </c>
      <c r="G25" s="28">
        <v>1638.3</v>
      </c>
      <c r="H25" s="28">
        <v>1638.3</v>
      </c>
      <c r="I25" s="28">
        <v>1638.3</v>
      </c>
      <c r="J25" s="28">
        <v>1638.3</v>
      </c>
      <c r="K25" s="28">
        <v>1638.3</v>
      </c>
      <c r="L25" s="28">
        <v>1638.3</v>
      </c>
      <c r="M25" s="28">
        <v>1638.3</v>
      </c>
      <c r="N25" s="28">
        <v>1638.3</v>
      </c>
      <c r="O25" s="28">
        <v>1638.3</v>
      </c>
      <c r="P25" s="28">
        <v>1638.3</v>
      </c>
      <c r="Q25" s="28">
        <v>1638.3</v>
      </c>
      <c r="R25" s="28">
        <v>1638.3</v>
      </c>
      <c r="S25" s="28">
        <v>1638.3</v>
      </c>
      <c r="T25" s="28">
        <v>1638.3</v>
      </c>
      <c r="U25" s="28">
        <v>1638.3</v>
      </c>
      <c r="V25" s="28">
        <v>1638.3</v>
      </c>
      <c r="W25" s="28">
        <v>1638.3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C28E-F5A5-435B-B53A-99CFB183F49E}">
  <sheetPr codeName="Sheet7"/>
  <dimension ref="A1:W25"/>
  <sheetViews>
    <sheetView workbookViewId="0">
      <selection activeCell="A2" sqref="A2:A25"/>
    </sheetView>
  </sheetViews>
  <sheetFormatPr defaultRowHeight="15" x14ac:dyDescent="0.25"/>
  <cols>
    <col min="1" max="1" width="18.28515625" style="15" bestFit="1" customWidth="1"/>
    <col min="2" max="16384" width="9.140625" style="15"/>
  </cols>
  <sheetData>
    <row r="1" spans="1:23" x14ac:dyDescent="0.25">
      <c r="A1" s="16"/>
      <c r="B1" s="16">
        <v>0</v>
      </c>
      <c r="C1" s="16">
        <v>2</v>
      </c>
      <c r="D1" s="16">
        <v>3</v>
      </c>
      <c r="E1" s="16">
        <v>4</v>
      </c>
      <c r="F1" s="16">
        <v>6</v>
      </c>
      <c r="G1" s="16">
        <v>8</v>
      </c>
      <c r="H1" s="16">
        <v>10</v>
      </c>
      <c r="I1" s="16">
        <v>12</v>
      </c>
      <c r="J1" s="16">
        <v>14</v>
      </c>
      <c r="K1" s="16">
        <v>16</v>
      </c>
      <c r="L1" s="16">
        <v>18</v>
      </c>
      <c r="M1" s="16">
        <v>20</v>
      </c>
      <c r="N1" s="16">
        <v>22</v>
      </c>
      <c r="O1" s="16">
        <v>24</v>
      </c>
      <c r="P1" s="16">
        <v>26</v>
      </c>
      <c r="Q1" s="16">
        <v>28</v>
      </c>
      <c r="R1" s="16">
        <v>30</v>
      </c>
      <c r="S1" s="16">
        <v>32</v>
      </c>
      <c r="T1" s="16">
        <v>34</v>
      </c>
      <c r="U1" s="16">
        <v>36</v>
      </c>
      <c r="V1" s="16">
        <v>38</v>
      </c>
      <c r="W1" s="16">
        <v>40</v>
      </c>
    </row>
    <row r="2" spans="1:23" x14ac:dyDescent="0.25">
      <c r="A2" s="16" t="s">
        <v>49</v>
      </c>
      <c r="B2" s="20">
        <v>15583.2</v>
      </c>
      <c r="C2" s="20">
        <v>15583.2</v>
      </c>
      <c r="D2" s="20">
        <v>15583.2</v>
      </c>
      <c r="E2" s="20">
        <v>15583.2</v>
      </c>
      <c r="F2" s="20">
        <v>15583.2</v>
      </c>
      <c r="G2" s="20">
        <v>15583.2</v>
      </c>
      <c r="H2" s="20">
        <v>15583.2</v>
      </c>
      <c r="I2" s="20">
        <v>15583.2</v>
      </c>
      <c r="J2" s="20">
        <v>15583.2</v>
      </c>
      <c r="K2" s="20">
        <v>15583.2</v>
      </c>
      <c r="L2" s="20">
        <v>15583.2</v>
      </c>
      <c r="M2" s="20">
        <v>15583.2</v>
      </c>
      <c r="N2" s="23">
        <v>15583.2</v>
      </c>
      <c r="O2" s="23">
        <v>15583.2</v>
      </c>
      <c r="P2" s="23">
        <v>15583.2</v>
      </c>
      <c r="Q2" s="23">
        <v>15583.2</v>
      </c>
      <c r="R2" s="23">
        <v>15583.2</v>
      </c>
      <c r="S2" s="23">
        <v>15583.2</v>
      </c>
      <c r="T2" s="23">
        <v>15583.2</v>
      </c>
      <c r="U2" s="23">
        <v>15583.2</v>
      </c>
      <c r="V2" s="23">
        <v>15583.2</v>
      </c>
      <c r="W2" s="23">
        <v>15583.2</v>
      </c>
    </row>
    <row r="3" spans="1:23" x14ac:dyDescent="0.25">
      <c r="A3" s="16" t="s">
        <v>50</v>
      </c>
      <c r="B3" s="20">
        <v>14352</v>
      </c>
      <c r="C3" s="20">
        <v>14352</v>
      </c>
      <c r="D3" s="20">
        <v>14352</v>
      </c>
      <c r="E3" s="20">
        <v>14352</v>
      </c>
      <c r="F3" s="20">
        <v>14352</v>
      </c>
      <c r="G3" s="20">
        <v>14352</v>
      </c>
      <c r="H3" s="20">
        <v>14352</v>
      </c>
      <c r="I3" s="20">
        <v>14352</v>
      </c>
      <c r="J3" s="20">
        <v>14352</v>
      </c>
      <c r="K3" s="20">
        <v>14352</v>
      </c>
      <c r="L3" s="20">
        <v>14352</v>
      </c>
      <c r="M3" s="20">
        <v>14352</v>
      </c>
      <c r="N3" s="23">
        <v>14559.3</v>
      </c>
      <c r="O3" s="23">
        <v>14857.8</v>
      </c>
      <c r="P3" s="23">
        <v>15378.6</v>
      </c>
      <c r="Q3" s="23">
        <v>15378.6</v>
      </c>
      <c r="R3" s="23">
        <v>15583.2</v>
      </c>
      <c r="S3" s="23">
        <v>15583.2</v>
      </c>
      <c r="T3" s="23">
        <v>15583.2</v>
      </c>
      <c r="U3" s="23">
        <v>15583.2</v>
      </c>
      <c r="V3" s="23">
        <v>15583.2</v>
      </c>
      <c r="W3" s="23">
        <v>15583.2</v>
      </c>
    </row>
    <row r="4" spans="1:23" x14ac:dyDescent="0.25">
      <c r="A4" s="16" t="s">
        <v>51</v>
      </c>
      <c r="B4" s="23">
        <v>10155</v>
      </c>
      <c r="C4" s="23">
        <v>10487.7</v>
      </c>
      <c r="D4" s="23">
        <v>10708.5</v>
      </c>
      <c r="E4" s="23">
        <v>10770</v>
      </c>
      <c r="F4" s="23">
        <v>11045.7</v>
      </c>
      <c r="G4" s="23">
        <v>11505.9</v>
      </c>
      <c r="H4" s="23">
        <v>11612.7</v>
      </c>
      <c r="I4" s="23">
        <v>12049.8</v>
      </c>
      <c r="J4" s="23">
        <v>12175.2</v>
      </c>
      <c r="K4" s="23">
        <v>12551.7</v>
      </c>
      <c r="L4" s="23">
        <v>13096.5</v>
      </c>
      <c r="M4" s="23">
        <v>13598.7</v>
      </c>
      <c r="N4" s="23">
        <v>13933.8</v>
      </c>
      <c r="O4" s="23">
        <v>13933.8</v>
      </c>
      <c r="P4" s="23">
        <v>13933.8</v>
      </c>
      <c r="Q4" s="23">
        <v>13933.8</v>
      </c>
      <c r="R4" s="23">
        <v>14282.7</v>
      </c>
      <c r="S4" s="23">
        <v>14282.7</v>
      </c>
      <c r="T4" s="22">
        <v>14639.7</v>
      </c>
      <c r="U4" s="22">
        <v>14639.7</v>
      </c>
      <c r="V4" s="21">
        <v>14639.7</v>
      </c>
      <c r="W4" s="21">
        <v>14639.7</v>
      </c>
    </row>
    <row r="5" spans="1:23" x14ac:dyDescent="0.25">
      <c r="A5" s="16" t="s">
        <v>52</v>
      </c>
      <c r="B5" s="23">
        <v>8438.1</v>
      </c>
      <c r="C5" s="23">
        <v>8829.9</v>
      </c>
      <c r="D5" s="23">
        <v>9011.4</v>
      </c>
      <c r="E5" s="23">
        <v>9155.7000000000007</v>
      </c>
      <c r="F5" s="23">
        <v>9416.7000000000007</v>
      </c>
      <c r="G5" s="23">
        <v>9674.7000000000007</v>
      </c>
      <c r="H5" s="23">
        <v>9972.9</v>
      </c>
      <c r="I5" s="23">
        <v>10270.200000000001</v>
      </c>
      <c r="J5" s="23">
        <v>10568.7</v>
      </c>
      <c r="K5" s="23">
        <v>11505.9</v>
      </c>
      <c r="L5" s="23">
        <v>12296.7</v>
      </c>
      <c r="M5" s="23">
        <v>12296.7</v>
      </c>
      <c r="N5" s="23">
        <v>12296.7</v>
      </c>
      <c r="O5" s="23">
        <v>12296.7</v>
      </c>
      <c r="P5" s="23">
        <v>12359.7</v>
      </c>
      <c r="Q5" s="23">
        <v>12359.7</v>
      </c>
      <c r="R5" s="23">
        <v>12606.9</v>
      </c>
      <c r="S5" s="23">
        <v>12606.9</v>
      </c>
      <c r="T5" s="22">
        <v>12606.9</v>
      </c>
      <c r="U5" s="22">
        <v>12606.9</v>
      </c>
      <c r="V5" s="21">
        <v>12606.9</v>
      </c>
      <c r="W5" s="21">
        <v>12606.9</v>
      </c>
    </row>
    <row r="6" spans="1:23" x14ac:dyDescent="0.25">
      <c r="A6" s="16" t="s">
        <v>53</v>
      </c>
      <c r="B6" s="23">
        <v>6398.7</v>
      </c>
      <c r="C6" s="23">
        <v>7029.9</v>
      </c>
      <c r="D6" s="23">
        <v>7491.3</v>
      </c>
      <c r="E6" s="23">
        <v>7491.3</v>
      </c>
      <c r="F6" s="23">
        <v>7519.8</v>
      </c>
      <c r="G6" s="23">
        <v>7842.3</v>
      </c>
      <c r="H6" s="23">
        <v>7884.6</v>
      </c>
      <c r="I6" s="23">
        <v>7884.6</v>
      </c>
      <c r="J6" s="23">
        <v>8332.5</v>
      </c>
      <c r="K6" s="23">
        <v>9124.7999999999993</v>
      </c>
      <c r="L6" s="23">
        <v>9589.7999999999993</v>
      </c>
      <c r="M6" s="23">
        <v>10054.5</v>
      </c>
      <c r="N6" s="23">
        <v>10318.799999999999</v>
      </c>
      <c r="O6" s="23">
        <v>10587</v>
      </c>
      <c r="P6" s="23">
        <v>11106</v>
      </c>
      <c r="Q6" s="23">
        <v>11106</v>
      </c>
      <c r="R6" s="23">
        <v>11328</v>
      </c>
      <c r="S6" s="23">
        <v>11328</v>
      </c>
      <c r="T6" s="22">
        <v>11328</v>
      </c>
      <c r="U6" s="22">
        <v>11328</v>
      </c>
      <c r="V6" s="21">
        <v>11328</v>
      </c>
      <c r="W6" s="21">
        <v>11328</v>
      </c>
    </row>
    <row r="7" spans="1:23" x14ac:dyDescent="0.25">
      <c r="A7" s="16" t="s">
        <v>34</v>
      </c>
      <c r="B7" s="23">
        <v>5334.3</v>
      </c>
      <c r="C7" s="23">
        <v>6009.3</v>
      </c>
      <c r="D7" s="23">
        <v>6424.8</v>
      </c>
      <c r="E7" s="23">
        <v>6503.4</v>
      </c>
      <c r="F7" s="23">
        <v>6763.2</v>
      </c>
      <c r="G7" s="23">
        <v>6918.3</v>
      </c>
      <c r="H7" s="23">
        <v>7259.7</v>
      </c>
      <c r="I7" s="23">
        <v>7510.5</v>
      </c>
      <c r="J7" s="23">
        <v>7834.2</v>
      </c>
      <c r="K7" s="23">
        <v>8329.7999999999993</v>
      </c>
      <c r="L7" s="23">
        <v>8565</v>
      </c>
      <c r="M7" s="23">
        <v>8798.1</v>
      </c>
      <c r="N7" s="23">
        <v>9062.7000000000007</v>
      </c>
      <c r="O7" s="23">
        <v>9062.7000000000007</v>
      </c>
      <c r="P7" s="23">
        <v>9062.7000000000007</v>
      </c>
      <c r="Q7" s="23">
        <v>9062.7000000000007</v>
      </c>
      <c r="R7" s="23">
        <v>9062.7000000000007</v>
      </c>
      <c r="S7" s="23">
        <v>9062.7000000000007</v>
      </c>
      <c r="T7" s="23">
        <v>9062.7000000000007</v>
      </c>
      <c r="U7" s="23">
        <v>9062.7000000000007</v>
      </c>
      <c r="V7" s="22">
        <v>9062.7000000000007</v>
      </c>
      <c r="W7" s="21">
        <v>9062.7000000000007</v>
      </c>
    </row>
    <row r="8" spans="1:23" x14ac:dyDescent="0.25">
      <c r="A8" s="16" t="s">
        <v>35</v>
      </c>
      <c r="B8" s="23">
        <v>4602.6000000000004</v>
      </c>
      <c r="C8" s="23">
        <v>5327.7</v>
      </c>
      <c r="D8" s="23">
        <v>5683.5</v>
      </c>
      <c r="E8" s="23">
        <v>5762.4</v>
      </c>
      <c r="F8" s="23">
        <v>6092.4</v>
      </c>
      <c r="G8" s="23">
        <v>6446.4</v>
      </c>
      <c r="H8" s="23">
        <v>6887.4</v>
      </c>
      <c r="I8" s="23">
        <v>7230.3</v>
      </c>
      <c r="J8" s="23">
        <v>7468.5</v>
      </c>
      <c r="K8" s="23">
        <v>7605.6</v>
      </c>
      <c r="L8" s="23">
        <v>7684.8</v>
      </c>
      <c r="M8" s="23">
        <v>7684.8</v>
      </c>
      <c r="N8" s="23">
        <v>7684.8</v>
      </c>
      <c r="O8" s="23">
        <v>7684.8</v>
      </c>
      <c r="P8" s="23">
        <v>7684.8</v>
      </c>
      <c r="Q8" s="23">
        <v>7684.8</v>
      </c>
      <c r="R8" s="23">
        <v>7684.8</v>
      </c>
      <c r="S8" s="23">
        <v>7684.8</v>
      </c>
      <c r="T8" s="23">
        <v>7684.8</v>
      </c>
      <c r="U8" s="23">
        <v>7684.8</v>
      </c>
      <c r="V8" s="22">
        <v>7684.8</v>
      </c>
      <c r="W8" s="21">
        <v>7684.8</v>
      </c>
    </row>
    <row r="9" spans="1:23" x14ac:dyDescent="0.25">
      <c r="A9" s="16" t="s">
        <v>54</v>
      </c>
      <c r="B9" s="23">
        <v>4046.7</v>
      </c>
      <c r="C9" s="23">
        <v>4587</v>
      </c>
      <c r="D9" s="23">
        <v>4950.8999999999996</v>
      </c>
      <c r="E9" s="23">
        <v>5398.2</v>
      </c>
      <c r="F9" s="23">
        <v>5657.1</v>
      </c>
      <c r="G9" s="23">
        <v>5940.9</v>
      </c>
      <c r="H9" s="23">
        <v>6124.2</v>
      </c>
      <c r="I9" s="23">
        <v>6426</v>
      </c>
      <c r="J9" s="23">
        <v>6583.5</v>
      </c>
      <c r="K9" s="23">
        <v>6583.5</v>
      </c>
      <c r="L9" s="23">
        <v>6583.5</v>
      </c>
      <c r="M9" s="23">
        <v>6583.5</v>
      </c>
      <c r="N9" s="23">
        <v>6583.5</v>
      </c>
      <c r="O9" s="23">
        <v>6583.5</v>
      </c>
      <c r="P9" s="23">
        <v>6583.5</v>
      </c>
      <c r="Q9" s="23">
        <v>6583.5</v>
      </c>
      <c r="R9" s="23">
        <v>6583.5</v>
      </c>
      <c r="S9" s="23">
        <v>6583.5</v>
      </c>
      <c r="T9" s="23">
        <v>6583.5</v>
      </c>
      <c r="U9" s="23">
        <v>6583.5</v>
      </c>
      <c r="V9" s="22">
        <v>6583.5</v>
      </c>
      <c r="W9" s="21">
        <v>6583.5</v>
      </c>
    </row>
    <row r="10" spans="1:23" x14ac:dyDescent="0.25">
      <c r="A10" s="16" t="s">
        <v>55</v>
      </c>
      <c r="B10" s="23">
        <v>3496.5</v>
      </c>
      <c r="C10" s="23">
        <v>3982.2</v>
      </c>
      <c r="D10" s="23">
        <v>4586.1000000000004</v>
      </c>
      <c r="E10" s="23">
        <v>4741.2</v>
      </c>
      <c r="F10" s="23">
        <v>4839</v>
      </c>
      <c r="G10" s="23">
        <v>4839</v>
      </c>
      <c r="H10" s="23">
        <v>4839</v>
      </c>
      <c r="I10" s="23">
        <v>4839</v>
      </c>
      <c r="J10" s="23">
        <v>4839</v>
      </c>
      <c r="K10" s="23">
        <v>4839</v>
      </c>
      <c r="L10" s="23">
        <v>4839</v>
      </c>
      <c r="M10" s="23">
        <v>4839</v>
      </c>
      <c r="N10" s="23">
        <v>4839</v>
      </c>
      <c r="O10" s="23">
        <v>4839</v>
      </c>
      <c r="P10" s="23">
        <v>4839</v>
      </c>
      <c r="Q10" s="23">
        <v>4839</v>
      </c>
      <c r="R10" s="23">
        <v>4839</v>
      </c>
      <c r="S10" s="23">
        <v>4839</v>
      </c>
      <c r="T10" s="23">
        <v>4839</v>
      </c>
      <c r="U10" s="23">
        <v>4839</v>
      </c>
      <c r="V10" s="22">
        <v>4839</v>
      </c>
      <c r="W10" s="21">
        <v>4839</v>
      </c>
    </row>
    <row r="11" spans="1:23" x14ac:dyDescent="0.25">
      <c r="A11" s="16" t="s">
        <v>56</v>
      </c>
      <c r="B11" s="23">
        <v>3034.8</v>
      </c>
      <c r="C11" s="23">
        <v>3159</v>
      </c>
      <c r="D11" s="23">
        <v>3818.7</v>
      </c>
      <c r="E11" s="23">
        <v>3818.7</v>
      </c>
      <c r="F11" s="23">
        <v>3818.7</v>
      </c>
      <c r="G11" s="23">
        <v>3818.7</v>
      </c>
      <c r="H11" s="23">
        <v>3818.7</v>
      </c>
      <c r="I11" s="23">
        <v>3818.7</v>
      </c>
      <c r="J11" s="23">
        <v>3818.7</v>
      </c>
      <c r="K11" s="23">
        <v>3818.7</v>
      </c>
      <c r="L11" s="23">
        <v>3818.7</v>
      </c>
      <c r="M11" s="23">
        <v>3818.7</v>
      </c>
      <c r="N11" s="23">
        <v>3818.7</v>
      </c>
      <c r="O11" s="23">
        <v>3818.7</v>
      </c>
      <c r="P11" s="23">
        <v>3818.7</v>
      </c>
      <c r="Q11" s="23">
        <v>3818.7</v>
      </c>
      <c r="R11" s="23">
        <v>3818.7</v>
      </c>
      <c r="S11" s="23">
        <v>3818.7</v>
      </c>
      <c r="T11" s="23">
        <v>3818.7</v>
      </c>
      <c r="U11" s="23">
        <v>3818.7</v>
      </c>
      <c r="V11" s="22">
        <v>3818.7</v>
      </c>
      <c r="W11" s="21">
        <v>3818.7</v>
      </c>
    </row>
    <row r="12" spans="1:23" x14ac:dyDescent="0.25">
      <c r="A12" s="18" t="s">
        <v>36</v>
      </c>
      <c r="B12" s="20">
        <v>7436.1</v>
      </c>
      <c r="C12" s="20">
        <v>7436.1</v>
      </c>
      <c r="D12" s="20">
        <v>7436.1</v>
      </c>
      <c r="E12" s="20">
        <v>7436.1</v>
      </c>
      <c r="F12" s="20">
        <v>7436.1</v>
      </c>
      <c r="G12" s="20">
        <v>7436.1</v>
      </c>
      <c r="H12" s="20">
        <v>7436.1</v>
      </c>
      <c r="I12" s="20">
        <v>7436.1</v>
      </c>
      <c r="J12" s="20">
        <v>7436.1</v>
      </c>
      <c r="K12" s="20">
        <v>7436.1</v>
      </c>
      <c r="L12" s="20">
        <v>7436.1</v>
      </c>
      <c r="M12" s="20">
        <v>7436.1</v>
      </c>
      <c r="N12" s="24">
        <v>7813.2</v>
      </c>
      <c r="O12" s="24">
        <v>8094</v>
      </c>
      <c r="P12" s="24">
        <v>8405.1</v>
      </c>
      <c r="Q12" s="24">
        <v>8405.1</v>
      </c>
      <c r="R12" s="24">
        <v>8826</v>
      </c>
      <c r="S12" s="24">
        <v>8826</v>
      </c>
      <c r="T12" s="24">
        <v>9266.7000000000007</v>
      </c>
      <c r="U12" s="24">
        <v>9266.7000000000007</v>
      </c>
      <c r="V12" s="24">
        <v>9730.7999999999993</v>
      </c>
      <c r="W12" s="24">
        <v>9730.7999999999993</v>
      </c>
    </row>
    <row r="13" spans="1:23" x14ac:dyDescent="0.25">
      <c r="A13" s="18" t="s">
        <v>37</v>
      </c>
      <c r="B13" s="24">
        <v>4182</v>
      </c>
      <c r="C13" s="24">
        <v>4498.5</v>
      </c>
      <c r="D13" s="24">
        <v>4627.5</v>
      </c>
      <c r="E13" s="24">
        <v>4754.7</v>
      </c>
      <c r="F13" s="24">
        <v>4973.3999999999996</v>
      </c>
      <c r="G13" s="24">
        <v>5190</v>
      </c>
      <c r="H13" s="24">
        <v>5409.3</v>
      </c>
      <c r="I13" s="24">
        <v>5738.7</v>
      </c>
      <c r="J13" s="24">
        <v>6027.9</v>
      </c>
      <c r="K13" s="24">
        <v>6303</v>
      </c>
      <c r="L13" s="24">
        <v>6528.3</v>
      </c>
      <c r="M13" s="24">
        <v>6747.6</v>
      </c>
      <c r="N13" s="24">
        <v>7070.1</v>
      </c>
      <c r="O13" s="24">
        <v>7335</v>
      </c>
      <c r="P13" s="24">
        <v>7637.4</v>
      </c>
      <c r="Q13" s="24">
        <v>7637.4</v>
      </c>
      <c r="R13" s="24">
        <v>7789.8</v>
      </c>
      <c r="S13" s="24">
        <v>7789.8</v>
      </c>
      <c r="T13" s="24">
        <v>7789.8</v>
      </c>
      <c r="U13" s="24">
        <v>7789.8</v>
      </c>
      <c r="V13" s="22">
        <v>7789.8</v>
      </c>
      <c r="W13" s="21">
        <v>7789.8</v>
      </c>
    </row>
    <row r="14" spans="1:23" x14ac:dyDescent="0.25">
      <c r="A14" s="18" t="s">
        <v>38</v>
      </c>
      <c r="B14" s="24">
        <v>3819</v>
      </c>
      <c r="C14" s="24">
        <v>3978.3</v>
      </c>
      <c r="D14" s="24">
        <v>4141.5</v>
      </c>
      <c r="E14" s="24">
        <v>4195.2</v>
      </c>
      <c r="F14" s="24">
        <v>4365.8999999999996</v>
      </c>
      <c r="G14" s="24">
        <v>4702.5</v>
      </c>
      <c r="H14" s="24">
        <v>5052.8999999999996</v>
      </c>
      <c r="I14" s="24">
        <v>5218.2</v>
      </c>
      <c r="J14" s="24">
        <v>5409</v>
      </c>
      <c r="K14" s="24">
        <v>5605.5</v>
      </c>
      <c r="L14" s="24">
        <v>5959.2</v>
      </c>
      <c r="M14" s="24">
        <v>6198</v>
      </c>
      <c r="N14" s="24">
        <v>6340.8</v>
      </c>
      <c r="O14" s="24">
        <v>6492.6</v>
      </c>
      <c r="P14" s="24">
        <v>6699.3</v>
      </c>
      <c r="Q14" s="24">
        <v>6699.3</v>
      </c>
      <c r="R14" s="24">
        <v>6699.3</v>
      </c>
      <c r="S14" s="24">
        <v>6699.3</v>
      </c>
      <c r="T14" s="24">
        <v>6699.3</v>
      </c>
      <c r="U14" s="24">
        <v>6699.3</v>
      </c>
      <c r="V14" s="22">
        <v>6699.3</v>
      </c>
      <c r="W14" s="21">
        <v>6699.3</v>
      </c>
    </row>
    <row r="15" spans="1:23" x14ac:dyDescent="0.25">
      <c r="A15" s="18" t="s">
        <v>39</v>
      </c>
      <c r="B15" s="24">
        <v>3379.5</v>
      </c>
      <c r="C15" s="24">
        <v>3699</v>
      </c>
      <c r="D15" s="24">
        <v>3797.4</v>
      </c>
      <c r="E15" s="24">
        <v>3864.9</v>
      </c>
      <c r="F15" s="24">
        <v>4084.2</v>
      </c>
      <c r="G15" s="24">
        <v>4424.7</v>
      </c>
      <c r="H15" s="24">
        <v>4593.6000000000004</v>
      </c>
      <c r="I15" s="24">
        <v>4759.5</v>
      </c>
      <c r="J15" s="24">
        <v>4962.8999999999996</v>
      </c>
      <c r="K15" s="24">
        <v>5121.6000000000004</v>
      </c>
      <c r="L15" s="24">
        <v>5265.6</v>
      </c>
      <c r="M15" s="24">
        <v>5437.8</v>
      </c>
      <c r="N15" s="24">
        <v>5550.9</v>
      </c>
      <c r="O15" s="24">
        <v>5640.6</v>
      </c>
      <c r="P15" s="24">
        <v>5640.6</v>
      </c>
      <c r="Q15" s="24">
        <v>5640.6</v>
      </c>
      <c r="R15" s="24">
        <v>5640.6</v>
      </c>
      <c r="S15" s="24">
        <v>5640.6</v>
      </c>
      <c r="T15" s="24">
        <v>5640.6</v>
      </c>
      <c r="U15" s="24">
        <v>5640.6</v>
      </c>
      <c r="V15" s="22">
        <v>5640.6</v>
      </c>
      <c r="W15" s="21">
        <v>5640.6</v>
      </c>
    </row>
    <row r="16" spans="1:23" x14ac:dyDescent="0.25">
      <c r="A16" s="18" t="s">
        <v>40</v>
      </c>
      <c r="B16" s="24">
        <v>2966.4</v>
      </c>
      <c r="C16" s="24">
        <v>3285.6</v>
      </c>
      <c r="D16" s="24">
        <v>3371.4</v>
      </c>
      <c r="E16" s="24">
        <v>3552.9</v>
      </c>
      <c r="F16" s="24">
        <v>3767.4</v>
      </c>
      <c r="G16" s="24">
        <v>4083.6</v>
      </c>
      <c r="H16" s="24">
        <v>4231.2</v>
      </c>
      <c r="I16" s="24">
        <v>4437.3</v>
      </c>
      <c r="J16" s="24">
        <v>4640.3999999999996</v>
      </c>
      <c r="K16" s="24">
        <v>4800.3</v>
      </c>
      <c r="L16" s="24">
        <v>4947</v>
      </c>
      <c r="M16" s="24">
        <v>5125.8</v>
      </c>
      <c r="N16" s="24">
        <v>5125.8</v>
      </c>
      <c r="O16" s="24">
        <v>5125.8</v>
      </c>
      <c r="P16" s="24">
        <v>5125.8</v>
      </c>
      <c r="Q16" s="24">
        <v>5125.8</v>
      </c>
      <c r="R16" s="24">
        <v>5125.8</v>
      </c>
      <c r="S16" s="24">
        <v>5125.8</v>
      </c>
      <c r="T16" s="24">
        <v>5125.8</v>
      </c>
      <c r="U16" s="24">
        <v>5125.8</v>
      </c>
      <c r="V16" s="22">
        <v>5125.8</v>
      </c>
      <c r="W16" s="21">
        <v>5125.8</v>
      </c>
    </row>
    <row r="17" spans="1:23" x14ac:dyDescent="0.25">
      <c r="A17" s="18" t="s">
        <v>41</v>
      </c>
      <c r="B17" s="20">
        <v>5052.6000000000004</v>
      </c>
      <c r="C17" s="20">
        <v>5052.6000000000004</v>
      </c>
      <c r="D17" s="20">
        <v>5052.6000000000004</v>
      </c>
      <c r="E17" s="20">
        <v>5052.6000000000004</v>
      </c>
      <c r="F17" s="20">
        <v>5052.6000000000004</v>
      </c>
      <c r="G17" s="20">
        <v>5052.6000000000004</v>
      </c>
      <c r="H17" s="20">
        <v>5052.6000000000004</v>
      </c>
      <c r="I17" s="24">
        <v>5166.8999999999996</v>
      </c>
      <c r="J17" s="24">
        <v>5311.5</v>
      </c>
      <c r="K17" s="24">
        <v>5481</v>
      </c>
      <c r="L17" s="24">
        <v>5652.6</v>
      </c>
      <c r="M17" s="24">
        <v>5926.5</v>
      </c>
      <c r="N17" s="24">
        <v>6158.7</v>
      </c>
      <c r="O17" s="24">
        <v>6402.6</v>
      </c>
      <c r="P17" s="24">
        <v>6776.4</v>
      </c>
      <c r="Q17" s="24">
        <v>6776.4</v>
      </c>
      <c r="R17" s="24">
        <v>7114.8</v>
      </c>
      <c r="S17" s="24">
        <v>7114.8</v>
      </c>
      <c r="T17" s="24">
        <v>7470.6</v>
      </c>
      <c r="U17" s="24">
        <v>7470.6</v>
      </c>
      <c r="V17" s="24">
        <v>7844.7</v>
      </c>
      <c r="W17" s="24">
        <v>7844.7</v>
      </c>
    </row>
    <row r="18" spans="1:23" x14ac:dyDescent="0.25">
      <c r="A18" s="18" t="s">
        <v>42</v>
      </c>
      <c r="B18" s="20">
        <v>4136.1000000000004</v>
      </c>
      <c r="C18" s="20">
        <v>4136.1000000000004</v>
      </c>
      <c r="D18" s="20">
        <v>4136.1000000000004</v>
      </c>
      <c r="E18" s="20">
        <v>4136.1000000000004</v>
      </c>
      <c r="F18" s="20">
        <v>4136.1000000000004</v>
      </c>
      <c r="G18" s="20">
        <v>4136.1000000000004</v>
      </c>
      <c r="H18" s="24">
        <v>4318.8</v>
      </c>
      <c r="I18" s="24">
        <v>4432.2</v>
      </c>
      <c r="J18" s="24">
        <v>4567.8</v>
      </c>
      <c r="K18" s="24">
        <v>4715.1000000000004</v>
      </c>
      <c r="L18" s="24">
        <v>4980.3</v>
      </c>
      <c r="M18" s="24">
        <v>5114.7</v>
      </c>
      <c r="N18" s="24">
        <v>5343.6</v>
      </c>
      <c r="O18" s="24">
        <v>5470.5</v>
      </c>
      <c r="P18" s="24">
        <v>5782.8</v>
      </c>
      <c r="Q18" s="24">
        <v>5782.8</v>
      </c>
      <c r="R18" s="24">
        <v>5898.9</v>
      </c>
      <c r="S18" s="24">
        <v>5898.9</v>
      </c>
      <c r="T18" s="24">
        <v>5898.9</v>
      </c>
      <c r="U18" s="24">
        <v>5898.9</v>
      </c>
      <c r="V18" s="24">
        <v>5898.9</v>
      </c>
      <c r="W18" s="24">
        <v>5898.9</v>
      </c>
    </row>
    <row r="19" spans="1:23" x14ac:dyDescent="0.25">
      <c r="A19" s="18" t="s">
        <v>43</v>
      </c>
      <c r="B19" s="24">
        <v>2875.2</v>
      </c>
      <c r="C19" s="24">
        <v>3138</v>
      </c>
      <c r="D19" s="24">
        <v>3258.3</v>
      </c>
      <c r="E19" s="24">
        <v>3417.3</v>
      </c>
      <c r="F19" s="24">
        <v>3541.8</v>
      </c>
      <c r="G19" s="24">
        <v>3755.1</v>
      </c>
      <c r="H19" s="24">
        <v>3875.4</v>
      </c>
      <c r="I19" s="24">
        <v>4088.7</v>
      </c>
      <c r="J19" s="24">
        <v>4266.6000000000004</v>
      </c>
      <c r="K19" s="24">
        <v>4387.8</v>
      </c>
      <c r="L19" s="24">
        <v>4516.8</v>
      </c>
      <c r="M19" s="24">
        <v>4566.6000000000004</v>
      </c>
      <c r="N19" s="24">
        <v>4734.6000000000004</v>
      </c>
      <c r="O19" s="24">
        <v>4824.6000000000004</v>
      </c>
      <c r="P19" s="24">
        <v>5167.5</v>
      </c>
      <c r="Q19" s="24">
        <v>5167.5</v>
      </c>
      <c r="R19" s="24">
        <v>5167.5</v>
      </c>
      <c r="S19" s="24">
        <v>5167.5</v>
      </c>
      <c r="T19" s="24">
        <v>5167.5</v>
      </c>
      <c r="U19" s="24">
        <v>5167.5</v>
      </c>
      <c r="V19" s="22">
        <v>5167.5</v>
      </c>
      <c r="W19" s="21">
        <v>5167.5</v>
      </c>
    </row>
    <row r="20" spans="1:23" x14ac:dyDescent="0.25">
      <c r="A20" s="18" t="s">
        <v>44</v>
      </c>
      <c r="B20" s="24">
        <v>2486.6999999999998</v>
      </c>
      <c r="C20" s="24">
        <v>2736.6</v>
      </c>
      <c r="D20" s="24">
        <v>2857.2</v>
      </c>
      <c r="E20" s="24">
        <v>2974.8</v>
      </c>
      <c r="F20" s="24">
        <v>3097.2</v>
      </c>
      <c r="G20" s="24">
        <v>3372.6</v>
      </c>
      <c r="H20" s="24">
        <v>3480.3</v>
      </c>
      <c r="I20" s="24">
        <v>3688.2</v>
      </c>
      <c r="J20" s="24">
        <v>3751.5</v>
      </c>
      <c r="K20" s="24">
        <v>3797.7</v>
      </c>
      <c r="L20" s="24">
        <v>3851.7</v>
      </c>
      <c r="M20" s="24">
        <v>3851.7</v>
      </c>
      <c r="N20" s="24">
        <v>3851.7</v>
      </c>
      <c r="O20" s="24">
        <v>3851.7</v>
      </c>
      <c r="P20" s="24">
        <v>3851.7</v>
      </c>
      <c r="Q20" s="24">
        <v>3851.7</v>
      </c>
      <c r="R20" s="24">
        <v>3851.7</v>
      </c>
      <c r="S20" s="24">
        <v>3851.7</v>
      </c>
      <c r="T20" s="24">
        <v>3851.7</v>
      </c>
      <c r="U20" s="24">
        <v>3851.7</v>
      </c>
      <c r="V20" s="22">
        <v>3851.7</v>
      </c>
      <c r="W20" s="21">
        <v>3851.7</v>
      </c>
    </row>
    <row r="21" spans="1:23" x14ac:dyDescent="0.25">
      <c r="A21" s="18" t="s">
        <v>45</v>
      </c>
      <c r="B21" s="24">
        <v>2278.1999999999998</v>
      </c>
      <c r="C21" s="24">
        <v>2431.5</v>
      </c>
      <c r="D21" s="24">
        <v>2549.1</v>
      </c>
      <c r="E21" s="24">
        <v>2669.1</v>
      </c>
      <c r="F21" s="24">
        <v>2856.6</v>
      </c>
      <c r="G21" s="24">
        <v>3052.5</v>
      </c>
      <c r="H21" s="24">
        <v>3213.6</v>
      </c>
      <c r="I21" s="24">
        <v>3232.8</v>
      </c>
      <c r="J21" s="24">
        <v>3232.8</v>
      </c>
      <c r="K21" s="24">
        <v>3232.8</v>
      </c>
      <c r="L21" s="24">
        <v>3232.8</v>
      </c>
      <c r="M21" s="24">
        <v>3232.8</v>
      </c>
      <c r="N21" s="24">
        <v>3232.8</v>
      </c>
      <c r="O21" s="24">
        <v>3232.8</v>
      </c>
      <c r="P21" s="24">
        <v>3232.8</v>
      </c>
      <c r="Q21" s="24">
        <v>3232.8</v>
      </c>
      <c r="R21" s="24">
        <v>3232.8</v>
      </c>
      <c r="S21" s="24">
        <v>3232.8</v>
      </c>
      <c r="T21" s="24">
        <v>3232.8</v>
      </c>
      <c r="U21" s="24">
        <v>3232.8</v>
      </c>
      <c r="V21" s="22">
        <v>3232.8</v>
      </c>
      <c r="W21" s="21">
        <v>3232.8</v>
      </c>
    </row>
    <row r="22" spans="1:23" x14ac:dyDescent="0.25">
      <c r="A22" s="18" t="s">
        <v>46</v>
      </c>
      <c r="B22" s="24">
        <v>2088.9</v>
      </c>
      <c r="C22" s="24">
        <v>2195.6999999999998</v>
      </c>
      <c r="D22" s="24">
        <v>2314.8000000000002</v>
      </c>
      <c r="E22" s="24">
        <v>2432.1</v>
      </c>
      <c r="F22" s="24">
        <v>2535.6</v>
      </c>
      <c r="G22" s="24">
        <v>2535.6</v>
      </c>
      <c r="H22" s="24">
        <v>2535.6</v>
      </c>
      <c r="I22" s="24">
        <v>2535.6</v>
      </c>
      <c r="J22" s="24">
        <v>2535.6</v>
      </c>
      <c r="K22" s="24">
        <v>2535.6</v>
      </c>
      <c r="L22" s="24">
        <v>2535.6</v>
      </c>
      <c r="M22" s="24">
        <v>2535.6</v>
      </c>
      <c r="N22" s="24">
        <v>2535.6</v>
      </c>
      <c r="O22" s="24">
        <v>2535.6</v>
      </c>
      <c r="P22" s="24">
        <v>2535.6</v>
      </c>
      <c r="Q22" s="24">
        <v>2535.6</v>
      </c>
      <c r="R22" s="24">
        <v>2535.6</v>
      </c>
      <c r="S22" s="24">
        <v>2535.6</v>
      </c>
      <c r="T22" s="24">
        <v>2535.6</v>
      </c>
      <c r="U22" s="24">
        <v>2535.6</v>
      </c>
      <c r="V22" s="22">
        <v>2535.6</v>
      </c>
      <c r="W22" s="21">
        <v>2535.6</v>
      </c>
    </row>
    <row r="23" spans="1:23" x14ac:dyDescent="0.25">
      <c r="A23" s="18" t="s">
        <v>47</v>
      </c>
      <c r="B23" s="24">
        <v>1885.8</v>
      </c>
      <c r="C23" s="24">
        <v>2004.3</v>
      </c>
      <c r="D23" s="24">
        <v>2125.8000000000002</v>
      </c>
      <c r="E23" s="24">
        <v>2125.8000000000002</v>
      </c>
      <c r="F23" s="24">
        <v>2125.8000000000002</v>
      </c>
      <c r="G23" s="24">
        <v>2125.8000000000002</v>
      </c>
      <c r="H23" s="24">
        <v>2125.8000000000002</v>
      </c>
      <c r="I23" s="24">
        <v>2125.8000000000002</v>
      </c>
      <c r="J23" s="24">
        <v>2125.8000000000002</v>
      </c>
      <c r="K23" s="24">
        <v>2125.8000000000002</v>
      </c>
      <c r="L23" s="24">
        <v>2125.8000000000002</v>
      </c>
      <c r="M23" s="24">
        <v>2125.8000000000002</v>
      </c>
      <c r="N23" s="24">
        <v>2125.8000000000002</v>
      </c>
      <c r="O23" s="24">
        <v>2125.8000000000002</v>
      </c>
      <c r="P23" s="24">
        <v>2125.8000000000002</v>
      </c>
      <c r="Q23" s="24">
        <v>2125.8000000000002</v>
      </c>
      <c r="R23" s="24">
        <v>2125.8000000000002</v>
      </c>
      <c r="S23" s="24">
        <v>2125.8000000000002</v>
      </c>
      <c r="T23" s="24">
        <v>2125.8000000000002</v>
      </c>
      <c r="U23" s="24">
        <v>2125.8000000000002</v>
      </c>
      <c r="V23" s="22">
        <v>2125.8000000000002</v>
      </c>
      <c r="W23" s="21">
        <v>2125.8000000000002</v>
      </c>
    </row>
    <row r="24" spans="1:23" x14ac:dyDescent="0.25">
      <c r="A24" s="18" t="s">
        <v>48</v>
      </c>
      <c r="B24" s="24">
        <v>1793.4</v>
      </c>
      <c r="C24" s="24">
        <v>1793.4</v>
      </c>
      <c r="D24" s="24">
        <v>1793.4</v>
      </c>
      <c r="E24" s="24">
        <v>1793.4</v>
      </c>
      <c r="F24" s="24">
        <v>1793.4</v>
      </c>
      <c r="G24" s="24">
        <v>1793.4</v>
      </c>
      <c r="H24" s="24">
        <v>1793.4</v>
      </c>
      <c r="I24" s="24">
        <v>1793.4</v>
      </c>
      <c r="J24" s="24">
        <v>1793.4</v>
      </c>
      <c r="K24" s="24">
        <v>1793.4</v>
      </c>
      <c r="L24" s="24">
        <v>1793.4</v>
      </c>
      <c r="M24" s="24">
        <v>1793.4</v>
      </c>
      <c r="N24" s="24">
        <v>1793.4</v>
      </c>
      <c r="O24" s="24">
        <v>1793.4</v>
      </c>
      <c r="P24" s="24">
        <v>1793.4</v>
      </c>
      <c r="Q24" s="24">
        <v>1793.4</v>
      </c>
      <c r="R24" s="24">
        <v>1793.4</v>
      </c>
      <c r="S24" s="24">
        <v>1793.4</v>
      </c>
      <c r="T24" s="24">
        <v>1793.4</v>
      </c>
      <c r="U24" s="24">
        <v>1793.4</v>
      </c>
      <c r="V24" s="22">
        <v>1793.4</v>
      </c>
      <c r="W24" s="21">
        <v>1793.4</v>
      </c>
    </row>
    <row r="25" spans="1:23" x14ac:dyDescent="0.25">
      <c r="A25" s="18" t="s">
        <v>57</v>
      </c>
      <c r="B25" s="24">
        <v>1599.9</v>
      </c>
      <c r="C25" s="24">
        <v>1599.9</v>
      </c>
      <c r="D25" s="24">
        <v>1599.9</v>
      </c>
      <c r="E25" s="24">
        <v>1599.9</v>
      </c>
      <c r="F25" s="24">
        <v>1599.9</v>
      </c>
      <c r="G25" s="24">
        <v>1599.9</v>
      </c>
      <c r="H25" s="24">
        <v>1599.9</v>
      </c>
      <c r="I25" s="24">
        <v>1599.9</v>
      </c>
      <c r="J25" s="24">
        <v>1599.9</v>
      </c>
      <c r="K25" s="24">
        <v>1599.9</v>
      </c>
      <c r="L25" s="24">
        <v>1599.9</v>
      </c>
      <c r="M25" s="24">
        <v>1599.9</v>
      </c>
      <c r="N25" s="24">
        <v>1599.9</v>
      </c>
      <c r="O25" s="24">
        <v>1599.9</v>
      </c>
      <c r="P25" s="24">
        <v>1599.9</v>
      </c>
      <c r="Q25" s="24">
        <v>1599.9</v>
      </c>
      <c r="R25" s="22">
        <v>1599.9</v>
      </c>
      <c r="S25" s="22">
        <v>1599.9</v>
      </c>
      <c r="T25" s="22">
        <v>1599.9</v>
      </c>
      <c r="U25" s="21">
        <v>1599.9</v>
      </c>
      <c r="V25" s="21">
        <v>1599.9</v>
      </c>
      <c r="W25" s="21">
        <v>1599.9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Retirment Pay Summary</vt:lpstr>
      <vt:lpstr>Salary Calculator</vt:lpstr>
      <vt:lpstr>Retirement Pay</vt:lpstr>
      <vt:lpstr>Disability Payment</vt:lpstr>
      <vt:lpstr>2020 Pay Chart</vt:lpstr>
      <vt:lpstr>2019 Pay Chart</vt:lpstr>
      <vt:lpstr>2018 Pay Chart</vt:lpstr>
      <vt:lpstr>2017 Pay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Military Transition Calculator</dc:title>
  <dc:creator>Troy Ward</dc:creator>
  <cp:keywords>Retirement, Calculator, Military, Pay</cp:keywords>
  <cp:lastModifiedBy>Troy Ward</cp:lastModifiedBy>
  <dcterms:created xsi:type="dcterms:W3CDTF">2018-12-16T22:09:19Z</dcterms:created>
  <dcterms:modified xsi:type="dcterms:W3CDTF">2020-01-27T05:04:10Z</dcterms:modified>
  <cp:contentStatus>Copyright Troy Ward 2020</cp:contentStatus>
</cp:coreProperties>
</file>